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2.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4880" windowHeight="7290" activeTab="2"/>
  </bookViews>
  <sheets>
    <sheet name="Rig Analysis" sheetId="5" r:id="rId1"/>
    <sheet name="Loos Scale Readings in Lbs." sheetId="2" r:id="rId2"/>
    <sheet name="Loos Scale Reading in Kg" sheetId="3" r:id="rId3"/>
    <sheet name="1x19 316 Wire" sheetId="4" r:id="rId4"/>
    <sheet name="Rig Element Tension Calculator" sheetId="1" r:id="rId5"/>
    <sheet name="Notes" sheetId="6" r:id="rId6"/>
  </sheets>
  <definedNames>
    <definedName name="_ftn1" localSheetId="5">Notes!$A$101</definedName>
    <definedName name="_ftn2" localSheetId="5">Notes!$A$102</definedName>
    <definedName name="_ftnref1" localSheetId="5">Notes!$A$77</definedName>
    <definedName name="_ftnref2" localSheetId="5">Notes!$A$79</definedName>
    <definedName name="_MailOriginal" localSheetId="5">Notes!$A$1</definedName>
    <definedName name="Beam">'Rig Analysis'!$D$4</definedName>
    <definedName name="bs_lbs">'Loos Scale Readings in Lbs.'!$C$6:$L$7</definedName>
    <definedName name="CurrentPageUnits">'Rig Analysis'!$P$3</definedName>
    <definedName name="IsMetric">'Rig Analysis'!$P$2</definedName>
    <definedName name="lbs_to_kg">'Rig Analysis'!$P$35</definedName>
    <definedName name="lookup_cols">'Loos Scale Readings in Lbs.'!$B$6:$L$8</definedName>
    <definedName name="material">'Rig Element Tension Calculator'!$F$26:$F$28</definedName>
    <definedName name="mm">'Rig Analysis'!$P$6</definedName>
    <definedName name="RightingMoment30">'Rig Analysis'!$D$3</definedName>
    <definedName name="SafetyFactor">'Rig Analysis'!$D$7</definedName>
    <definedName name="scale_lbs">'Loos Scale Readings in Lbs.'!$B$6:$L$54</definedName>
    <definedName name="scale_metric">'Loos Scale Reading in Kg'!$B$6:$L$54</definedName>
    <definedName name="ShroudLoad">'Rig Analysis'!$D$5</definedName>
    <definedName name="size_units">'Rig Analysis'!$P$6</definedName>
    <definedName name="Strength_Factor">'Rig Analysis'!$G$7</definedName>
    <definedName name="unit_conversion">'Rig Analysis'!$P$5</definedName>
    <definedName name="wire_bs">'1x19 316 Wire'!$D$2:$N$5</definedName>
    <definedName name="wire_bs_metric">'1x19 316 Wire'!$D$7:$J$10</definedName>
    <definedName name="wire_rope_specs_imperial">'1x19 316 Wire'!$D$16:$J$38</definedName>
    <definedName name="wire_rope_specs_metric">'1x19 316 Wire'!$C$16:$J$38</definedName>
    <definedName name="Wire_Threshold">'Rig Analysis'!$G$8</definedName>
    <definedName name="WireD1">'Rig Element Tension Calculator'!$N$17</definedName>
    <definedName name="WireD2">'Rig Element Tension Calculator'!$N$13</definedName>
    <definedName name="WireD3">'Rig Element Tension Calculator'!$N$7</definedName>
    <definedName name="WireV2">'Rig Element Tension Calculator'!$N$10</definedName>
    <definedName name="WorkBookUnits">'Rig Analysis'!$P$4</definedName>
  </definedNames>
  <calcPr calcId="145621"/>
</workbook>
</file>

<file path=xl/calcChain.xml><?xml version="1.0" encoding="utf-8"?>
<calcChain xmlns="http://schemas.openxmlformats.org/spreadsheetml/2006/main">
  <c r="T2" i="5" l="1"/>
  <c r="D30" i="1" l="1"/>
  <c r="D33" i="1" s="1"/>
  <c r="D31" i="1" l="1"/>
  <c r="D32" i="1"/>
  <c r="E10" i="1" l="1"/>
  <c r="E13" i="1"/>
  <c r="E12" i="1"/>
  <c r="E11" i="1"/>
  <c r="P6" i="5"/>
  <c r="J7" i="4"/>
  <c r="I7" i="4"/>
  <c r="H7" i="4"/>
  <c r="G7" i="4"/>
  <c r="F7" i="4"/>
  <c r="E7" i="4"/>
  <c r="D7" i="4"/>
  <c r="N2" i="4"/>
  <c r="M2" i="4"/>
  <c r="L2" i="4"/>
  <c r="K2" i="4"/>
  <c r="J2" i="4"/>
  <c r="I2" i="4"/>
  <c r="H2" i="4"/>
  <c r="G2" i="4"/>
  <c r="F2" i="4"/>
  <c r="E2" i="4"/>
  <c r="D2" i="4"/>
  <c r="P5" i="5"/>
  <c r="D9" i="4"/>
  <c r="D10" i="4" l="1"/>
  <c r="E9" i="4" l="1"/>
  <c r="I10" i="4"/>
  <c r="H10" i="4"/>
  <c r="G10" i="4"/>
  <c r="E10" i="4"/>
  <c r="M5" i="4"/>
  <c r="L5" i="4"/>
  <c r="K5" i="4"/>
  <c r="J5" i="4"/>
  <c r="I5" i="4"/>
  <c r="H5" i="4"/>
  <c r="G5" i="4"/>
  <c r="F5" i="4"/>
  <c r="E5" i="4"/>
  <c r="D5" i="4"/>
  <c r="I9" i="4"/>
  <c r="H9" i="4"/>
  <c r="G9" i="4"/>
  <c r="F9" i="4"/>
  <c r="M4" i="4"/>
  <c r="L4" i="4"/>
  <c r="K4" i="4"/>
  <c r="J4" i="4"/>
  <c r="I4" i="4"/>
  <c r="H4" i="4"/>
  <c r="G4" i="4"/>
  <c r="F4" i="4"/>
  <c r="E4" i="4"/>
  <c r="D4" i="4"/>
  <c r="O10" i="4"/>
  <c r="Q8" i="4"/>
  <c r="Q7" i="4"/>
  <c r="O9" i="4"/>
  <c r="F50" i="5"/>
  <c r="F49" i="5"/>
  <c r="F48" i="5"/>
  <c r="F47" i="5"/>
  <c r="F10" i="4" l="1"/>
  <c r="J12" i="1"/>
  <c r="F12" i="1" s="1"/>
  <c r="N12" i="1" s="1"/>
  <c r="H12" i="1"/>
  <c r="I12" i="1" s="1"/>
  <c r="O12" i="1" s="1"/>
  <c r="D21" i="5"/>
  <c r="I21" i="5"/>
  <c r="H21" i="5"/>
  <c r="G21" i="5"/>
  <c r="P3" i="5"/>
  <c r="E11" i="5" s="1"/>
  <c r="E21" i="5" s="1"/>
  <c r="E15" i="1" l="1"/>
  <c r="P4" i="5"/>
  <c r="C5" i="5" s="1"/>
  <c r="F11" i="5"/>
  <c r="F21" i="5" s="1"/>
  <c r="D5" i="5"/>
  <c r="D8" i="5" s="1"/>
  <c r="E18" i="5" l="1"/>
  <c r="E22" i="5"/>
  <c r="E28" i="5"/>
  <c r="N18" i="5"/>
  <c r="N17" i="5"/>
  <c r="N22" i="5"/>
  <c r="G22" i="5" s="1"/>
  <c r="N26" i="5"/>
  <c r="G26" i="5" s="1"/>
  <c r="E16" i="5"/>
  <c r="E14" i="5"/>
  <c r="E23" i="5"/>
  <c r="E25" i="5"/>
  <c r="N14" i="5"/>
  <c r="N13" i="5"/>
  <c r="N15" i="5"/>
  <c r="E12" i="5"/>
  <c r="E17" i="5"/>
  <c r="E27" i="5"/>
  <c r="E26" i="5"/>
  <c r="N28" i="5"/>
  <c r="G28" i="5" s="1"/>
  <c r="N16" i="5"/>
  <c r="N27" i="5"/>
  <c r="G27" i="5" s="1"/>
  <c r="E15" i="5"/>
  <c r="E13" i="5"/>
  <c r="E24" i="5"/>
  <c r="N25" i="5"/>
  <c r="G25" i="5" s="1"/>
  <c r="N24" i="5"/>
  <c r="G24" i="5" s="1"/>
  <c r="N12" i="5"/>
  <c r="N23" i="5"/>
  <c r="G23" i="5" s="1"/>
  <c r="F14" i="5"/>
  <c r="E9" i="1"/>
  <c r="H9" i="1"/>
  <c r="F27" i="5" l="1"/>
  <c r="H27" i="5" s="1"/>
  <c r="F17" i="5"/>
  <c r="F16" i="5"/>
  <c r="F15" i="5"/>
  <c r="F28" i="5"/>
  <c r="H28" i="5" s="1"/>
  <c r="F25" i="5"/>
  <c r="H25" i="5" s="1"/>
  <c r="F26" i="5"/>
  <c r="H26" i="5" s="1"/>
  <c r="F23" i="5"/>
  <c r="H23" i="5" s="1"/>
  <c r="F22" i="5"/>
  <c r="H22" i="5" s="1"/>
  <c r="F13" i="5"/>
  <c r="F12" i="5"/>
  <c r="I24" i="5"/>
  <c r="F24" i="5"/>
  <c r="H24" i="5" s="1"/>
  <c r="I26" i="5"/>
  <c r="G16" i="5"/>
  <c r="I16" i="5"/>
  <c r="H16" i="5"/>
  <c r="I23" i="5"/>
  <c r="I15" i="5"/>
  <c r="G15" i="5"/>
  <c r="H15" i="5"/>
  <c r="I25" i="5"/>
  <c r="I13" i="5"/>
  <c r="H13" i="5"/>
  <c r="G13" i="5"/>
  <c r="I22" i="5"/>
  <c r="I28" i="5"/>
  <c r="G14" i="5"/>
  <c r="H14" i="5"/>
  <c r="I14" i="5"/>
  <c r="F18" i="5"/>
  <c r="H18" i="5"/>
  <c r="I18" i="5"/>
  <c r="G18" i="5"/>
  <c r="I27" i="5"/>
  <c r="H12" i="5"/>
  <c r="G12" i="5"/>
  <c r="I12" i="5"/>
  <c r="I17" i="5"/>
  <c r="H17" i="5"/>
  <c r="G17" i="5"/>
  <c r="O25" i="5" l="1"/>
  <c r="O24" i="5"/>
  <c r="O13" i="5"/>
  <c r="O12" i="5"/>
  <c r="O17" i="5"/>
  <c r="O18" i="5"/>
  <c r="O14" i="5"/>
  <c r="O27" i="5"/>
  <c r="O22" i="5"/>
  <c r="O15" i="5"/>
  <c r="O16" i="5"/>
  <c r="O23" i="5"/>
  <c r="O28" i="5"/>
  <c r="P18" i="5" l="1"/>
  <c r="R18" i="5"/>
  <c r="P13" i="5"/>
  <c r="R13" i="5"/>
  <c r="R17" i="5"/>
  <c r="P17" i="5"/>
  <c r="P14" i="5"/>
  <c r="R14" i="5"/>
  <c r="P12" i="5"/>
  <c r="R12" i="5"/>
  <c r="R15" i="5"/>
  <c r="P15" i="5"/>
  <c r="O26" i="5"/>
  <c r="H13" i="1"/>
  <c r="H11" i="1"/>
  <c r="H10" i="1"/>
  <c r="H15" i="1" s="1"/>
  <c r="J13" i="1"/>
  <c r="J10" i="1"/>
  <c r="J11" i="1"/>
  <c r="P16" i="5" l="1"/>
  <c r="R16" i="5"/>
  <c r="I11" i="1"/>
  <c r="O11" i="1" s="1"/>
  <c r="I13" i="1"/>
  <c r="O13" i="1" s="1"/>
  <c r="I10" i="1"/>
  <c r="O10" i="1" s="1"/>
  <c r="F11" i="1"/>
  <c r="N11" i="1" s="1"/>
  <c r="F13" i="1"/>
  <c r="N13" i="1" s="1"/>
  <c r="F10" i="1"/>
  <c r="N10" i="1" s="1"/>
</calcChain>
</file>

<file path=xl/sharedStrings.xml><?xml version="1.0" encoding="utf-8"?>
<sst xmlns="http://schemas.openxmlformats.org/spreadsheetml/2006/main" count="452" uniqueCount="325">
  <si>
    <t>D2</t>
  </si>
  <si>
    <t>D3/V2</t>
  </si>
  <si>
    <t>V1</t>
  </si>
  <si>
    <t>Port</t>
  </si>
  <si>
    <t>Starboard</t>
  </si>
  <si>
    <t>Loos</t>
  </si>
  <si>
    <t>%</t>
  </si>
  <si>
    <t>BL</t>
  </si>
  <si>
    <t>Wire</t>
  </si>
  <si>
    <t>Rig Elem</t>
  </si>
  <si>
    <t>CALIBRATION PLATE</t>
  </si>
  <si>
    <t>MODEL PT-1</t>
  </si>
  <si>
    <t>MODEL PT-2</t>
  </si>
  <si>
    <t>MODEL PT-3</t>
  </si>
  <si>
    <t>SCALE</t>
  </si>
  <si>
    <t>MODEL PT-1 METRIC</t>
  </si>
  <si>
    <t>MODEL PT-2 METRIC</t>
  </si>
  <si>
    <t>MODEL PT-3 METRIC</t>
  </si>
  <si>
    <t>2.5mm</t>
  </si>
  <si>
    <t>3mm</t>
  </si>
  <si>
    <t>4mm</t>
  </si>
  <si>
    <t>5mm</t>
  </si>
  <si>
    <t>6mm</t>
  </si>
  <si>
    <t>7mm</t>
  </si>
  <si>
    <t>8mm</t>
  </si>
  <si>
    <t>9mm</t>
  </si>
  <si>
    <t>10mm</t>
  </si>
  <si>
    <t>3/32</t>
  </si>
  <si>
    <t>5/32</t>
  </si>
  <si>
    <t>3/16</t>
  </si>
  <si>
    <t>7/32</t>
  </si>
  <si>
    <t>1/4</t>
  </si>
  <si>
    <t>9/32</t>
  </si>
  <si>
    <t>1/8</t>
  </si>
  <si>
    <t>5/16</t>
  </si>
  <si>
    <t>3/8</t>
  </si>
  <si>
    <t>HIDDEN</t>
  </si>
  <si>
    <t>Lookup</t>
  </si>
  <si>
    <t>Jibstay</t>
  </si>
  <si>
    <t>Backstay</t>
  </si>
  <si>
    <t>% of Load</t>
  </si>
  <si>
    <t>Safety Factor</t>
  </si>
  <si>
    <t>NEXT</t>
  </si>
  <si>
    <t>Beam (Ft)</t>
  </si>
  <si>
    <t>BL*</t>
  </si>
  <si>
    <t>316 1x19 SS</t>
  </si>
  <si>
    <t>Delta</t>
  </si>
  <si>
    <t>Wire Low</t>
  </si>
  <si>
    <t>Wire High</t>
  </si>
  <si>
    <t>7/16</t>
  </si>
  <si>
    <t>1/2</t>
  </si>
  <si>
    <t>IMPERIAL WIRE SIZE</t>
  </si>
  <si>
    <t>METRIC WIRE SIZE</t>
  </si>
  <si>
    <t>Intermediates D2</t>
  </si>
  <si>
    <t>Uppers D3/V2</t>
  </si>
  <si>
    <t>Lowers D1</t>
  </si>
  <si>
    <t>11mm</t>
  </si>
  <si>
    <t>11mm Dux</t>
  </si>
  <si>
    <t xml:space="preserve">10mm Powerflex is </t>
  </si>
  <si>
    <t>7/16" is available</t>
  </si>
  <si>
    <t>METRIC</t>
  </si>
  <si>
    <t>IMPERIAL</t>
  </si>
  <si>
    <t>mm</t>
  </si>
  <si>
    <t>in</t>
  </si>
  <si>
    <t>kg</t>
  </si>
  <si>
    <t>lb</t>
  </si>
  <si>
    <t>kg/100m</t>
  </si>
  <si>
    <t>lb/100ft</t>
  </si>
  <si>
    <t>mm/mm/1000kg</t>
  </si>
  <si>
    <t>in/in/1000lb</t>
  </si>
  <si>
    <t>Nominal Diameter</t>
  </si>
  <si>
    <t>Min. Breaking Load</t>
  </si>
  <si>
    <t>Approx. Weight</t>
  </si>
  <si>
    <t>Stretch</t>
  </si>
  <si>
    <t>2</t>
  </si>
  <si>
    <t>2.5</t>
  </si>
  <si>
    <t>3</t>
  </si>
  <si>
    <t>4</t>
  </si>
  <si>
    <t>5</t>
  </si>
  <si>
    <t>6</t>
  </si>
  <si>
    <t>7</t>
  </si>
  <si>
    <t>8</t>
  </si>
  <si>
    <t>10</t>
  </si>
  <si>
    <t>11</t>
  </si>
  <si>
    <t>12</t>
  </si>
  <si>
    <t>14</t>
  </si>
  <si>
    <t>9/16</t>
  </si>
  <si>
    <t>16</t>
  </si>
  <si>
    <t>5/8</t>
  </si>
  <si>
    <t>19</t>
  </si>
  <si>
    <t>3/4</t>
  </si>
  <si>
    <t>22</t>
  </si>
  <si>
    <t>7/8</t>
  </si>
  <si>
    <t>26</t>
  </si>
  <si>
    <t>1</t>
  </si>
  <si>
    <t>Stainless 316 1x19 Wire Rope</t>
  </si>
  <si>
    <t>10mm 1x19</t>
  </si>
  <si>
    <t>8mm 1x19</t>
  </si>
  <si>
    <t>lbs_to_kg</t>
  </si>
  <si>
    <t>*7/16</t>
  </si>
  <si>
    <t>CurrentPageUnits</t>
  </si>
  <si>
    <t>WorkBookUnits</t>
  </si>
  <si>
    <t>Forestay (Staysail)</t>
  </si>
  <si>
    <t xml:space="preserve">  Shroud Load  = R.M 30 * 1.5 / (Beam / 2)</t>
  </si>
  <si>
    <t>IsMetric</t>
  </si>
  <si>
    <t>V1 Balance differential</t>
  </si>
  <si>
    <t>D1</t>
  </si>
  <si>
    <t>lbs</t>
  </si>
  <si>
    <t>Strength Factor</t>
  </si>
  <si>
    <t xml:space="preserve">  Righting Moment</t>
  </si>
  <si>
    <t>LOADS (lbs)</t>
  </si>
  <si>
    <t>WIRE</t>
  </si>
  <si>
    <t>ORIGINAL</t>
  </si>
  <si>
    <t>KOS Stainless strain testing appears to be about 20% more than what is listed in standard tables</t>
  </si>
  <si>
    <t>Wire Threshold</t>
  </si>
  <si>
    <t>Use Wire High if Delta &gt; Threshold</t>
  </si>
  <si>
    <t>unit_conversion</t>
  </si>
  <si>
    <t>WIRE SIZE (mm)</t>
  </si>
  <si>
    <t>WIRE SIZE (in)</t>
  </si>
  <si>
    <t>R.M. (lbs) @ 30 deg</t>
  </si>
  <si>
    <t>BL 1x19 316 (lb)</t>
  </si>
  <si>
    <t>SizeUnits</t>
  </si>
  <si>
    <t>BUGS: Lookup tables for LOOS scale must be corrected for BL vs. WIRE SIZE</t>
  </si>
  <si>
    <t>THERE IS NO IMPERIAL vs. METRIC.  Should depend on wire size for lookup.</t>
  </si>
  <si>
    <t>IMPERIAL/METRIC ONLY DETERMINES LOAD VALUES.</t>
  </si>
  <si>
    <t>ONLY WORKS FOR IMPERIAL WIRE AND UNITS AT THE PRESENT TIME</t>
  </si>
  <si>
    <t>ADD BACKSTAY, JIBSTAY, FORESTAY CALCS</t>
  </si>
  <si>
    <t>ADD CONTINUOUS RIG ANALYSIS</t>
  </si>
  <si>
    <t>Note 4. % of load values and formulas as specified in The Rigger's Apprentice, Brion Toss, pgs. 137-138. 1998</t>
  </si>
  <si>
    <t>Difference from standard tables</t>
  </si>
  <si>
    <t>FINAL</t>
  </si>
  <si>
    <t>Stbd</t>
  </si>
  <si>
    <t>Formulas from Riggers Apprentice by Brion Toss</t>
  </si>
  <si>
    <t xml:space="preserve">10mm Powerflex (Dyform) is </t>
  </si>
  <si>
    <t>Kelly-Peterson 44 / Formosa 46</t>
  </si>
  <si>
    <t>We recently had Brion Toss replace the standing rigging on</t>
  </si>
  <si>
    <t>Tango (KP44 #115). Here are his comments.</t>
  </si>
  <si>
    <t>Dennis</t>
  </si>
  <si>
    <t xml:space="preserve">             Rig sizes should of course not be arbitrary;</t>
  </si>
  <si>
    <t>they should reflect the loads that are imposed on each</t>
  </si>
  <si>
    <t>piece. In the case of this vessel there was an apparent</t>
  </si>
  <si>
    <t>anomaly, in that the 3/8” V1’s which extend from the</t>
  </si>
  <si>
    <t>chainplates to the lower spreaders, were quite a bit weaker</t>
  </si>
  <si>
    <t>than the combined strengths of the 3/8” V2’s, which go to</t>
  </si>
  <si>
    <t>the masthead, and the 5/16” D2’s, which go from the lower</t>
  </si>
  <si>
    <t>spreader to just under the upper spreader. If the upper two</t>
  </si>
  <si>
    <t>wires were the right size, then the V1’s were too small, and</t>
  </si>
  <si>
    <t>the wrong size, having no relationship to the vessel’s</t>
  </si>
  <si>
    <t>righting moment. So it was clear that we had to start by</t>
  </si>
  <si>
    <t>determining the loads that the vessel put onto those wires,</t>
  </si>
  <si>
    <t>before we chose new wires for a rerig.</t>
  </si>
  <si>
    <t xml:space="preserve">             There are several ways to do this. The simplest</t>
  </si>
  <si>
    <t>chart showing typical loads for a vessel of a given</t>
  </si>
  <si>
    <t>waterline. This is a remarkably reliable chart, in my</t>
  </si>
  <si>
    <t>experience. For a KP44, with a waterline of 38’8”, we can</t>
  </si>
  <si>
    <t>derive a load on the shrouds of in the neighborhood of</t>
  </si>
  <si>
    <t>factor into account. About 60% of this load can be expected</t>
  </si>
  <si>
    <t>to land on the V1’s, which means about 20,000lbs, and this</t>
  </si>
  <si>
    <t>translates either to 7/16” 1x19 or 3/8” compact strand. For</t>
  </si>
  <si>
    <t xml:space="preserve">             To double-check the accuracy of those</t>
  </si>
  <si>
    <t>chart-derived figures, the owners arranged for a direct</t>
  </si>
  <si>
    <t>incline test. Because righting moment increases in</t>
  </si>
  <si>
    <t>approximately a straight line through at least 30 degrees of</t>
  </si>
  <si>
    <t>heel for monohulls, even a small amount of heel, from a</t>
  </si>
  <si>
    <t>small load, can be extrapolated for loads at large angles of</t>
  </si>
  <si>
    <t>heel. My favorite method for such a test is to have as many</t>
  </si>
  <si>
    <t>people as will fit lined up along the rail of the boat.</t>
  </si>
  <si>
    <t>Their weight, times their distance from the centerline,</t>
  </si>
  <si>
    <t>gives the foot-pounds of force heeling the boat. The</t>
  </si>
  <si>
    <t>resulting angle of heel can be measured old-school, using a</t>
  </si>
  <si>
    <t>pendulum and square, or new-school, using an inclinometer on</t>
  </si>
  <si>
    <t>a smart phone.</t>
  </si>
  <si>
    <t xml:space="preserve">             In the event, a sufficiently large group of</t>
  </si>
  <si>
    <t>friends wasn’t available, so the owners placed a weight at</t>
  </si>
  <si>
    <t>the end of the boom, swung the boom out to the side,</t>
  </si>
  <si>
    <t>measured the heel, and repeated the exercise on the other</t>
  </si>
  <si>
    <t>side. The results were consistent side-to-side, and the</t>
  </si>
  <si>
    <t>extrapolation showed righting moment fairly close to that</t>
  </si>
  <si>
    <t>derived from the chart, just a bit higher, but resulting in</t>
  </si>
  <si>
    <t>the same wire sizes.</t>
  </si>
  <si>
    <t xml:space="preserve">             Based on these results, we installed 3/8”</t>
  </si>
  <si>
    <t>compact strand V1’s, 5/16” 1x19 V2’s, and 9/32” D2’s. These</t>
  </si>
  <si>
    <t>sizes reflect typical distribution of load, and the V1’s are</t>
  </si>
  <si>
    <t>no longer overwhelmed by the upper two wires.</t>
  </si>
  <si>
    <t xml:space="preserve">             Note that this wasn’t the only KP44 with</t>
  </si>
  <si>
    <t>anomalous wire sizes. Also note that the rigs aren’t</t>
  </si>
  <si>
    <t>collapsing all over the place. But the dimensional changes</t>
  </si>
  <si>
    <t>on this boat accomplished two important things:</t>
  </si>
  <si>
    <t>First, we achieved a consistent, desirable factor of safety</t>
  </si>
  <si>
    <t>for all components. Previously the V1’s were weak relative</t>
  </si>
  <si>
    <t>to the combined strengths of the wires they supported,</t>
  </si>
  <si>
    <t>meaning they were more /likely/ to fail. That hazard was now</t>
  </si>
  <si>
    <t>gone.</t>
  </si>
  <si>
    <t>Second, we were able to reduce weight aloft, so that the</t>
  </si>
  <si>
    <t>boat will sail better, have less weather helm, need reefing</t>
  </si>
  <si>
    <t>less often, etc.</t>
  </si>
  <si>
    <t>--Brion Toss</t>
  </si>
  <si>
    <t>I also consulted with Brion 3 years ago on my own re-rig, but did not perform the actual righting moment test, and made an assumption of 72000 lbs.  I gather that is not correct.</t>
  </si>
  <si>
    <t xml:space="preserve">* Would you please share the results of  your righting moment test and how you did it?  </t>
  </si>
  <si>
    <t xml:space="preserve">* Also provide the tonnage of Tango?  </t>
  </si>
  <si>
    <t>I used Brion's "Riggers Apprentice" to help figure out the wire loads and they seem nowhere near what he says in his note to  you, nonetheless the conclusions seem the same.  It's a puzzle I would like to figure out.  Brion has now rigged or provided consulting information on several boats so I wanted to provide a "standard" rig.  I ended up with four possibilities which are at the end of this note.</t>
  </si>
  <si>
    <t xml:space="preserve">So, I rowed over to his boat with a bottle of Aussie Shiraz, and asked some questions about my re-rigging quandary. He knew EXACTLY what I was talking about and confirmed and resolved a few key issues I was concerned about.   </t>
  </si>
  <si>
    <t>His recommendations are different from those of Brion Toss in that the uppers are definitely 3/8" (although 5/16" appears to be an adequate strength).  As nearly all the Petersons that I have seen have 3/8" uppers I decided (at the time) not to downsize to 5/16" as Brion recommended.</t>
  </si>
  <si>
    <t>Here's what Alan told me:</t>
  </si>
  <si>
    <t>1)</t>
  </si>
  <si>
    <t>The boat's original rig design was CONTINUOUS rigging (two wires to the deck).  This was done to save money. [DISCONTINUOUS is a stronger, better way to rig these boats – J.S.]</t>
  </si>
  <si>
    <t>2)</t>
  </si>
  <si>
    <t>3)</t>
  </si>
  <si>
    <t>Otherwise, the cap shroud, or upper, (V1+V2+D3) should be 3/8".</t>
  </si>
  <si>
    <t>4)</t>
  </si>
  <si>
    <t>The intermediate wires in either case are 5/16".</t>
  </si>
  <si>
    <t>5)</t>
  </si>
  <si>
    <t>The four lowers are 5/16".</t>
  </si>
  <si>
    <t>Considering what both Alan and Brion have said and weighing in practical matters (standard wire sizes) I think I would now recommend three different rigs for a KP44 (and presumably an F46) as follows:</t>
  </si>
  <si>
    <t>“Standard Practical Rig”:</t>
  </si>
  <si>
    <t>Discontinuous Rig</t>
  </si>
  <si>
    <t>Compact strand V1 3/8" or 10mm</t>
  </si>
  <si>
    <t>1x19 V2/D3 5/16" or 8mm</t>
  </si>
  <si>
    <t>1x19 D1 5/16" or 8mm</t>
  </si>
  <si>
    <t>1x19 D2 5/16" or 8mm</t>
  </si>
  <si>
    <t>The "Brion Toss Optimum Rig" would have a slightly smaller D2:</t>
  </si>
  <si>
    <t>1x19 D2 9/32" or 7mm</t>
  </si>
  <si>
    <t>“Original Discontinuous Rig”</t>
  </si>
  <si>
    <t xml:space="preserve">  </t>
  </si>
  <si>
    <t>Compact strand V1 3/8" or 10mm, or 1x19 7/16”</t>
  </si>
  <si>
    <t xml:space="preserve">1x19 D2 5/16" or 8mm  </t>
  </si>
  <si>
    <t>“Original Continuous Rig “</t>
  </si>
  <si>
    <t xml:space="preserve">     </t>
  </si>
  <si>
    <t>V1+V2+D3 3/8" or 10mm</t>
  </si>
  <si>
    <t>All backstays are 1x19 3/8” or 10mm</t>
  </si>
  <si>
    <t>RIGGING AND FURLER WORRIES</t>
  </si>
  <si>
    <t>Rigging</t>
  </si>
  <si>
    <t xml:space="preserve">The drama of rigging continues.  Rigging is a “dark art” based largely on empirical experience of riggers and nautical designers, and partially on scientific knowledge.  Whereas I am certain that very serious computer software is applied to the hull strength and rig design of America’s Cup and ocean racers, I have found very little useful information on Plain Old Cruising Boats.  I turned up a few dissertations on the subject.  The only useful and applicable formulas comes from Brion Toss’s Rigger’s Apprentice which is based on the 30º righting moment.  This is supposedly 72,000 lbs. for our boat.  This gives you the ability to calculate a theoretical transverse rig load which is apportioned among the various rigging wires depending on the rig type (discontinuous vs. continuous).  I have incorporated this into an Excel worksheet.  </t>
  </si>
  <si>
    <t>Yesterday I examined the 3/8” Hi-Mod compression terminal on the backstay.  Although it was difficult to remove (it had not been opened in maybe 10 years) the wire was un-damaged and not corroded.  This has convinced me that the uncompromising fail-safe design and ability to remove and replace the termination makes Hi-Mods the best terminals to use.  I would never have a worry of a swage failure with Hi-Mods, so we will proceed with the all Hi-Mod option, although it is seriously more expensive than swaging.  Yes, swaging is perfectly fine, especially if you pick you rigger, but it can and does fail.  Hi-Mods just won’t fail – and they don’t have that “hard edge” or encapsulated non-aerated wire to worry about.</t>
  </si>
  <si>
    <t>Based on my talks with KP44 rigger Alan Blunt I think the current discontinuous rigging, while more expensive, is the best solution for wire rigging.  The big factor is whether to upsize the V1 wires to accommodate the combined loads of the uppers and intermediates.  NONE of the existing KP44s that I have seen do this – they mostly have 3/8” wire on the V1, and V2/D3, with 5/16” wire on the D2 and D3.  Nevertheless the experience of other skippers on different boats, and the rigging analysis, and common sense all say that a 7/16” V1 would be the correct wire to use.</t>
  </si>
  <si>
    <t>On the other hand going from 3/8” to 7/16” is quite an expensive jump because of the HUGE price increase of the Hi-Mod terminals, over $800.  When trying to tune the rig a few weeks ago I was up the mast while my mate Niall was on deck and I was trying to get a balance of tension between the uppers and intermediates and I did not quite get it right – the intermediate was tensioned to 12% while the upper was tensioned to 8% (this is 1210 lbs. on the D2 and 1100 lbs. on the D3/V2).  More tension needs to be moved to the D3/V2 and probably more tension overall.  However this would require around 2300 lbs. on the V1 (which is now reading 1400 lbs. (18-20%) on the Loos PT-3 tension gauge.  [1]</t>
  </si>
  <si>
    <t>With this setup I could see the top of the mast tipping to leeward under stress (which is not necessarily a problem).  The big issue is that the leeward rig should not go slack from lack of pre-tension until it is time to reef.[2]  It is clear that static measurements are only a start to proper rig tuning and adjustments under sail must be made.</t>
  </si>
  <si>
    <t xml:space="preserve">So, unless I want to tension a 3/8” (or 10mm) wire past 20% of breaking load, or have a lower pre-tension </t>
  </si>
  <si>
    <t xml:space="preserve">in the uppers and intermediates, I would have to upsize to the 7/16” wire (11mm not available). </t>
  </si>
  <si>
    <t xml:space="preserve">On the other hand, the empirical evidence is that these Petersons have been sailing for over 30 years without an obvious problem using 3/8” V1 wire (unless you count stories about slack leeward wires due to lack of pre-tension and my difficulty getting the tensions balanced and high enough in the uppers and intermediates).  I would like to poll my Peterson Group on this subject.   </t>
  </si>
  <si>
    <r>
      <t>PROS</t>
    </r>
    <r>
      <rPr>
        <sz val="10"/>
        <color theme="1"/>
        <rFont val="Times New Roman"/>
        <family val="1"/>
      </rPr>
      <t xml:space="preserve"> of a larger V1: properly balanced pre-tension and loading which makes for a safer and stronger rig.</t>
    </r>
  </si>
  <si>
    <r>
      <t>CONS</t>
    </r>
    <r>
      <rPr>
        <sz val="10"/>
        <color theme="1"/>
        <rFont val="Times New Roman"/>
        <family val="1"/>
      </rPr>
      <t>: three wire sizes instead of two, about $850 more expense, requirement to enlarge pin hole in chainplate to ¾”, and a negligible amount of additional weight (5 lb.).</t>
    </r>
  </si>
  <si>
    <t xml:space="preserve">At this point Chris Kennedy of Fisheries suggested using 10mm Compact Strand (Dyform or Powerflex) which is 16% stronger than the 10mm 1x19 wire as compared to the 7/16” wire which is 27% stronger than 10mm 1x19.  </t>
  </si>
  <si>
    <t>Since the 10mm Compact Strand has not crossed the magical “big boat” threshold this saves over $800 in rigging expenses while gaining about 60% of the up-sizing advantage of the 7/16” 1x19.</t>
  </si>
  <si>
    <t xml:space="preserve">In other words, it is a good compromise between the empirical solution (stick with 3/8”/10mm) and the theoretical/recommended solution (upsize to 7/16”).  </t>
  </si>
  <si>
    <t>So, that’s what I have done.</t>
  </si>
  <si>
    <t>One other option is to replace the lower spreader tip link plates with a solid stainless link plate ($32 for materials) and use forks instead of eyes.  One of Brion Toss’ riggers recommended this to Terry Hudkin. I could go ahead with the forks, use the existing link plates INSIDE the forks, and then fabricate the solid link plate when I get back to Niall’s factory in Sydney.  They can plasma cut and we could finish it off.</t>
  </si>
  <si>
    <t xml:space="preserve">[1] I have learned that the Loos tends to over-estimate the upper range of tension as it ages and the spring stretches.  </t>
  </si>
  <si>
    <t>[2] .  A good description of pre-tension (and many other things) is found in Ivar Dedekam’s book on Sail and Rig Tuning”.</t>
  </si>
  <si>
    <t xml:space="preserve">Thanks, Dennis, for sharing Brion's Notes. </t>
  </si>
  <si>
    <t>I just had a beer with Brion a couple of weeks ago when he gave an excellent presentation at the Australian Wooden Boat Festival in Hobart.  Apparently he comes here every two years.  He emphasized in his talk the downsides of using wire greater than necessary. Oversizing the wire can actually be dangerous as it adds weight aloft and puts extra stress on toggles, terminals, spreaders, mast and chainplates.  It is also a LOT more expensive for larger sized terminals.  I see a lot of obviously over-rigged boats when walking the docks.  So I think you have an optimum rig.</t>
  </si>
  <si>
    <t>He gave similar advice regarding my rig, some of which I followed.  His analysis supported my thinking that the "standard" rig on the Peterson Cutters was not well designed.   I have often wondered if Doug Peterson designed the rig and (if he did) were his recommendations followed.   Most of the USA KP44’s were rigged in California.   It never made sense to me that the V1 was sized the same as the V2 as it has to bear greater loads.  Later I discovered that the original rig was different from what was on Beatrix (see below comments from Alan Blunt).</t>
  </si>
  <si>
    <t xml:space="preserve">All my terminations are Peterson (Hayn) Hi-Mod terminals. I had a problem with the compact strand 10mm because the KOS (Korean) wire is made slightly oversize.  One of the reasons some wire seems “stronger” than others is that it is actually bigger, e.g. 10mm might be 10.5 mm.  Peterson UK (who makes Hi-Mods) made some special “crown” pieces for my terminals to accommodate the oversize wire.  </t>
  </si>
  <si>
    <t>If the rigging is DISCONTINOUS the V1 element (first vertical) should be 7/16" as it bears the load of the intermediates and uppers. [NOTE: this requires larger chainplate holes.  Use compact strand instead – J.S.]</t>
  </si>
  <si>
    <t>1x19 V2/D3 3/8" or 10mm</t>
  </si>
  <si>
    <t>In conclusion, there are a lot of factors to think about.  The “optimum” rig is more expensive and more complex but has properly balanced pre-tension and loading which makes for a safer and stronger rig.  Some of the other possibilities approach this but with fewer sizes of standard wire.  Beatrix has the “Original Discontinuous Rig” but I think the “Standard Practical Rig” is a more practical solution while paying attention to optimum loading</t>
  </si>
  <si>
    <t>Jeff,</t>
  </si>
  <si>
    <t>Great information on KP44 rigs! Here's how we did the</t>
  </si>
  <si>
    <t>incline (righting moment) test that Brion asked for.</t>
  </si>
  <si>
    <t>We filled several dry bags with water, tied them to the end</t>
  </si>
  <si>
    <t>of the boom, and swung the boom out as far as it would go on</t>
  </si>
  <si>
    <t>both sides. We measured the amount of heel using a smart</t>
  </si>
  <si>
    <t>phone and used a tape measure to get the distance from</t>
  </si>
  <si>
    <t>centerline to the boom end on both sides. We weighed each of</t>
  </si>
  <si>
    <t>the water-filled dry bags and the boom end with a spring</t>
  </si>
  <si>
    <t>scale. Here are the results that we sent to Brion.</t>
  </si>
  <si>
    <t>"Here are the results of the incline test.</t>
  </si>
  <si>
    <t>"The weight at the end of the boom totaled 211 pounds. The weight of the</t>
  </si>
  <si>
    <t>boom (measured with a spring scale at the aft end) was 60 lb.</t>
  </si>
  <si>
    <t>"With the boom and personnel centered, the boat heeled 01.3 degrees,</t>
  </si>
  <si>
    <t>starboard high.</t>
  </si>
  <si>
    <t>"With the boom out to starboard, personnel centered, the heel was 01.3</t>
  </si>
  <si>
    <t>degrees, port high (02.6 degrees total heel). The estimated distance from</t>
  </si>
  <si>
    <t>the centerline to the boom end was 189 inches.</t>
  </si>
  <si>
    <t>"With the boom out to port, personnel centered, the heel was 03.8 degrees,</t>
  </si>
  <si>
    <t>starboard high (02.5 degrees total heel). The estimated distance from</t>
  </si>
  <si>
    <t>centerline was 192 inches (both centerline and tape end were estimated)."</t>
  </si>
  <si>
    <t>Despite the relatively small weight and angle of heel, it was enough to give him the information he needed.</t>
  </si>
  <si>
    <t>Unfortunately, I don't know the exact tonnage of Tango. I assume that it is close to 30,000 pounds.</t>
  </si>
  <si>
    <t>therefore making continuous rigging popular due to the ease of spreader design,</t>
  </si>
  <si>
    <r>
      <rPr>
        <b/>
        <sz val="11"/>
        <color theme="1"/>
        <rFont val="Calibri"/>
        <family val="2"/>
        <scheme val="minor"/>
      </rPr>
      <t>Discontinuous rigging</t>
    </r>
    <r>
      <rPr>
        <sz val="11"/>
        <color theme="1"/>
        <rFont val="Calibri"/>
        <family val="2"/>
        <scheme val="minor"/>
      </rPr>
      <t xml:space="preserve"> is based on the principle of one stay in between each span, linked by tip cups</t>
    </r>
  </si>
  <si>
    <t>On BEATRIX we have discontious rigging, which I believe is the preferred design.</t>
  </si>
  <si>
    <r>
      <rPr>
        <b/>
        <sz val="11"/>
        <color theme="1"/>
        <rFont val="Calibri"/>
        <family val="2"/>
        <scheme val="minor"/>
      </rPr>
      <t>Continuous rigging</t>
    </r>
    <r>
      <rPr>
        <sz val="11"/>
        <color theme="1"/>
        <rFont val="Calibri"/>
        <family val="2"/>
        <scheme val="minor"/>
      </rPr>
      <t xml:space="preserve"> allows all shrouds to pass over the spreader tips without termination,</t>
    </r>
  </si>
  <si>
    <t>installation, and straightforward tuning adjustment all at deck level.</t>
  </si>
  <si>
    <t>It also is less expensive and thus favored by many builders of production boats.</t>
  </si>
  <si>
    <t>tip cups or special links. Each span is fitted with the correct size wire or rod to accept</t>
  </si>
  <si>
    <t xml:space="preserve"> the loads, so the stays can be reduced in section progressively up the spar. The center of</t>
  </si>
  <si>
    <t xml:space="preserve"> gravity is lowered, windage is less and often the total rig weight is lowered. Tuning,</t>
  </si>
  <si>
    <t>although done at deck and spreader levels, is easier due to the shorter span lengths,</t>
  </si>
  <si>
    <t xml:space="preserve"> therefore less stretch in each stay.</t>
  </si>
  <si>
    <t>DISCONTINUOUS</t>
  </si>
  <si>
    <t>CONTINUOUS</t>
  </si>
  <si>
    <t>V1/D2</t>
  </si>
  <si>
    <t>V1/V2/D3</t>
  </si>
  <si>
    <t>V2/D3</t>
  </si>
  <si>
    <t>Note 1.  Wire Factors are based on 1x19 316SS tables (see Wire worksheet).</t>
  </si>
  <si>
    <t>Note 2.  Delta = percent of load difference from Lower Wire Size to Higher Wire Size.</t>
  </si>
  <si>
    <t>Brion RECOMMENDS</t>
  </si>
  <si>
    <t>BT (Brion Toss) Final Recommendations:</t>
  </si>
  <si>
    <t>7/16" V1, 5/16" V2/D3, 9/32" or 5/16" D2, 5/16" lowers and forestay, 3/8" jibstay or metric equivalents of any of these. 1/2" V1's are too big and would also require very large pins.</t>
  </si>
  <si>
    <t>* 11mm not available.  Use 10mm Powerflex (Dyform) instead.</t>
  </si>
  <si>
    <t>11mm*</t>
  </si>
  <si>
    <t>CHAINPLATE LOAD</t>
  </si>
  <si>
    <t>Hole Size (in)</t>
  </si>
  <si>
    <t>Width  (in)</t>
  </si>
  <si>
    <t>Thickness (in)</t>
  </si>
  <si>
    <t>Cross-Sectional Area</t>
  </si>
  <si>
    <t>Silicon Bronze</t>
  </si>
  <si>
    <t>Aluminum Bronze</t>
  </si>
  <si>
    <t>316 Stainless Steel</t>
  </si>
  <si>
    <t>psi</t>
  </si>
  <si>
    <t>vice versa. It was also possible that all of them were</t>
  </si>
  <si>
    <t>one is to consult "Skene’s Elements of Yacht Design" for a</t>
  </si>
  <si>
    <t>more on this process, see my book, "The Rigger’s Apprentice."</t>
  </si>
  <si>
    <r>
      <rPr>
        <b/>
        <sz val="11"/>
        <color theme="1"/>
        <rFont val="Calibri"/>
        <family val="2"/>
        <scheme val="minor"/>
      </rPr>
      <t>33,750lbs</t>
    </r>
    <r>
      <rPr>
        <sz val="11"/>
        <color theme="1"/>
        <rFont val="Calibri"/>
        <family val="2"/>
        <scheme val="minor"/>
      </rPr>
      <t>, once we have taken the vessel beam and safety</t>
    </r>
  </si>
  <si>
    <t xml:space="preserve">In practical terms, wire sizes like 9/32 are not very common so I felt restricted (in my case) to 8mm and 10mm 1x19, and 10mm compact strand.  Therefore, Beatrix was re-rigged with 10mm compact strand V1, 10mm 1x19 V2, and 8mm 1x19 D1 and D2.  I now think I could have used a smaller 8mm 1x19 V2 wire, but I at least I have a better load distribution than before by using the compact strand on the V1.  Any wire size over 10mm (or 3/8") immediately incurs a tripling of costs for terminals, turnbuckles, re-sizing chainplate holes, etc., which is why sizes like 1x19 7/16 (11 mm -- not available in Australia) or greater are not practical.  1x19 9/32" (7mm) is also not always available (certainly not in Australia).  </t>
  </si>
  <si>
    <t xml:space="preserve">In 2012 I ran into a bloke named Alan Blunt, skipper of Cheyenne, out of Los Angeles.  Alan is an Aussie, but for years owned Seatek Yachting Inc., a spar and rigging business in Wilmington, CA.  He knew Jack Kelly and is friends with Doug Peterson.  He was involved in the rigging of the first KP44's and has sailed many miles aboard one.  </t>
  </si>
  <si>
    <t>Design Load</t>
  </si>
  <si>
    <t>Note 3.  Righting moment is always given in foot-pounds.</t>
  </si>
  <si>
    <t xml:space="preserve">Selden Calculated Righting Moment 30 </t>
  </si>
  <si>
    <t>ft-lbs</t>
  </si>
  <si>
    <t>kNm</t>
  </si>
  <si>
    <t>Righting Moment</t>
  </si>
  <si>
    <t>Brion Toss Riggers Apprentice</t>
  </si>
  <si>
    <t>CHAINPLATE MATERIAL COMPARISON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</si>
</sst>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3" formatCode="_-* #,##0.00_-;\-* #,##0.00_-;_-* &quot;-&quot;??_-;_-@_-"/>
    <numFmt numFmtId="164" formatCode="_-* #,##0.0_-;\-* #,##0.0_-;_-* &quot;-&quot;??_-;_-@_-"/>
    <numFmt numFmtId="165" formatCode="_-* #,##0_-;\-* #,##0_-;_-* &quot;-&quot;??_-;_-@_-"/>
    <numFmt numFmtId="166" formatCode="_-* #,##0.0000000_-;\-* #,##0.0000000_-;_-* &quot;-&quot;??_-;_-@_-"/>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Arial"/>
      <family val="2"/>
    </font>
    <font>
      <sz val="11"/>
      <color theme="1"/>
      <name val="Arial"/>
      <family val="2"/>
    </font>
    <font>
      <b/>
      <sz val="11"/>
      <color rgb="FF9C6500"/>
      <name val="Calibri"/>
      <family val="2"/>
      <scheme val="minor"/>
    </font>
    <font>
      <b/>
      <sz val="11"/>
      <color theme="1"/>
      <name val="Calibri"/>
      <family val="2"/>
      <scheme val="minor"/>
    </font>
    <font>
      <sz val="11"/>
      <color rgb="FF9C0006"/>
      <name val="Calibri"/>
      <family val="2"/>
      <scheme val="minor"/>
    </font>
    <font>
      <b/>
      <sz val="11"/>
      <color rgb="FF006100"/>
      <name val="Calibri"/>
      <family val="2"/>
      <scheme val="minor"/>
    </font>
    <font>
      <b/>
      <sz val="11"/>
      <color rgb="FF9C0006"/>
      <name val="Calibri"/>
      <family val="2"/>
      <scheme val="minor"/>
    </font>
    <font>
      <b/>
      <sz val="22"/>
      <color rgb="FF006100"/>
      <name val="Calibri"/>
      <family val="2"/>
      <scheme val="minor"/>
    </font>
    <font>
      <b/>
      <sz val="10"/>
      <name val="Arial"/>
      <family val="2"/>
    </font>
    <font>
      <sz val="11"/>
      <color rgb="FF000000"/>
      <name val="Calibri"/>
      <family val="2"/>
      <scheme val="minor"/>
    </font>
    <font>
      <sz val="22"/>
      <color rgb="FF000000"/>
      <name val="Arial Black"/>
      <family val="2"/>
    </font>
    <font>
      <b/>
      <sz val="11"/>
      <color theme="8" tint="-0.249977111117893"/>
      <name val="Calibri"/>
      <family val="2"/>
      <scheme val="minor"/>
    </font>
    <font>
      <sz val="10"/>
      <color theme="1"/>
      <name val="Calibri"/>
      <family val="2"/>
      <scheme val="minor"/>
    </font>
    <font>
      <b/>
      <sz val="11"/>
      <color rgb="FFFF0000"/>
      <name val="Calibri"/>
      <family val="2"/>
      <scheme val="minor"/>
    </font>
    <font>
      <b/>
      <sz val="11"/>
      <color rgb="FF00B050"/>
      <name val="Calibri"/>
      <family val="2"/>
      <scheme val="minor"/>
    </font>
    <font>
      <sz val="8"/>
      <color rgb="FF000000"/>
      <name val="Calibri"/>
      <family val="2"/>
      <scheme val="minor"/>
    </font>
    <font>
      <b/>
      <sz val="16"/>
      <color theme="1"/>
      <name val="Arial"/>
      <family val="2"/>
    </font>
    <font>
      <sz val="10"/>
      <color theme="1"/>
      <name val="Times New Roman"/>
      <family val="1"/>
    </font>
    <font>
      <b/>
      <sz val="10"/>
      <color theme="1"/>
      <name val="Times New Roman"/>
      <family val="1"/>
    </font>
    <font>
      <u/>
      <sz val="11"/>
      <color theme="10"/>
      <name val="Calibri"/>
      <family val="2"/>
      <scheme val="minor"/>
    </font>
    <font>
      <sz val="14"/>
      <color rgb="FF000000"/>
      <name val="Arial"/>
      <family val="2"/>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FFFFF"/>
        <bgColor indexed="64"/>
      </patternFill>
    </fill>
    <fill>
      <patternFill patternType="solid">
        <fgColor rgb="FFFFFF00"/>
        <bgColor indexed="64"/>
      </patternFill>
    </fill>
    <fill>
      <patternFill patternType="solid">
        <fgColor rgb="FFFFC7CE"/>
      </patternFill>
    </fill>
    <fill>
      <patternFill patternType="solid">
        <fgColor indexed="13"/>
        <bgColor indexed="64"/>
      </patternFill>
    </fill>
    <fill>
      <patternFill patternType="solid">
        <fgColor rgb="FF00B0F0"/>
        <bgColor indexed="64"/>
      </patternFill>
    </fill>
    <fill>
      <patternFill patternType="solid">
        <fgColor theme="7" tint="0.59999389629810485"/>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8" fillId="6" borderId="0" applyNumberFormat="0" applyBorder="0" applyAlignment="0" applyProtection="0"/>
    <xf numFmtId="43" fontId="1" fillId="0" borderId="0" applyFont="0" applyFill="0" applyBorder="0" applyAlignment="0" applyProtection="0"/>
    <xf numFmtId="0" fontId="1" fillId="9" borderId="0" applyNumberFormat="0" applyBorder="0" applyAlignment="0" applyProtection="0"/>
    <xf numFmtId="0" fontId="23" fillId="0" borderId="0" applyNumberFormat="0" applyFill="0" applyBorder="0" applyAlignment="0" applyProtection="0"/>
  </cellStyleXfs>
  <cellXfs count="196">
    <xf numFmtId="0" fontId="0" fillId="0" borderId="0" xfId="0"/>
    <xf numFmtId="0" fontId="0" fillId="0" borderId="1" xfId="0" applyBorder="1"/>
    <xf numFmtId="9" fontId="0" fillId="0" borderId="1" xfId="1" applyFont="1" applyBorder="1"/>
    <xf numFmtId="0" fontId="5"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13" fontId="5" fillId="0" borderId="4" xfId="0" quotePrefix="1" applyNumberFormat="1" applyFont="1" applyBorder="1" applyAlignment="1">
      <alignment horizontal="center" vertical="center" wrapText="1"/>
    </xf>
    <xf numFmtId="13" fontId="5" fillId="0" borderId="10" xfId="0" quotePrefix="1" applyNumberFormat="1" applyFont="1" applyBorder="1" applyAlignment="1">
      <alignment horizontal="center" vertical="center" wrapText="1"/>
    </xf>
    <xf numFmtId="13" fontId="5" fillId="0" borderId="11" xfId="0" quotePrefix="1" applyNumberFormat="1" applyFont="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3" fontId="5" fillId="0" borderId="15" xfId="0" quotePrefix="1" applyNumberFormat="1" applyFont="1" applyBorder="1" applyAlignment="1">
      <alignment horizontal="center" vertical="center" wrapText="1"/>
    </xf>
    <xf numFmtId="0" fontId="5" fillId="4"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13" fontId="5" fillId="0" borderId="6" xfId="0" quotePrefix="1" applyNumberFormat="1" applyFont="1" applyBorder="1" applyAlignment="1">
      <alignment horizontal="center" vertical="center" wrapText="1"/>
    </xf>
    <xf numFmtId="13" fontId="5" fillId="0" borderId="5" xfId="0" quotePrefix="1" applyNumberFormat="1" applyFont="1" applyBorder="1" applyAlignment="1">
      <alignment horizontal="center" vertical="center" wrapText="1"/>
    </xf>
    <xf numFmtId="13" fontId="5" fillId="0" borderId="21" xfId="0" quotePrefix="1" applyNumberFormat="1" applyFont="1" applyBorder="1" applyAlignment="1">
      <alignment horizontal="center" vertical="center" wrapText="1"/>
    </xf>
    <xf numFmtId="13" fontId="5" fillId="0" borderId="22" xfId="0" quotePrefix="1" applyNumberFormat="1" applyFont="1" applyBorder="1" applyAlignment="1">
      <alignment horizontal="center" vertical="center" wrapText="1"/>
    </xf>
    <xf numFmtId="17" fontId="5" fillId="0" borderId="5" xfId="0" quotePrefix="1" applyNumberFormat="1" applyFont="1" applyBorder="1" applyAlignment="1">
      <alignment horizontal="center" vertical="center" wrapText="1"/>
    </xf>
    <xf numFmtId="16" fontId="5" fillId="0" borderId="21" xfId="0" quotePrefix="1" applyNumberFormat="1" applyFont="1" applyBorder="1" applyAlignment="1">
      <alignment horizontal="center" vertical="center" wrapText="1"/>
    </xf>
    <xf numFmtId="0" fontId="4" fillId="5" borderId="19" xfId="0" applyFont="1" applyFill="1" applyBorder="1" applyAlignment="1">
      <alignment horizontal="center" vertical="center" wrapText="1"/>
    </xf>
    <xf numFmtId="13" fontId="5" fillId="5" borderId="15" xfId="0" quotePrefix="1" applyNumberFormat="1" applyFont="1" applyFill="1" applyBorder="1" applyAlignment="1">
      <alignment horizontal="center" vertical="center" wrapText="1"/>
    </xf>
    <xf numFmtId="13" fontId="5" fillId="5" borderId="4" xfId="0" quotePrefix="1" applyNumberFormat="1" applyFont="1" applyFill="1" applyBorder="1" applyAlignment="1">
      <alignment horizontal="center" vertical="center" wrapText="1"/>
    </xf>
    <xf numFmtId="13" fontId="5" fillId="5" borderId="11" xfId="0" quotePrefix="1" applyNumberFormat="1" applyFont="1" applyFill="1" applyBorder="1" applyAlignment="1">
      <alignment horizontal="center" vertical="center" wrapText="1"/>
    </xf>
    <xf numFmtId="13" fontId="5" fillId="5" borderId="10" xfId="0" quotePrefix="1" applyNumberFormat="1" applyFont="1" applyFill="1" applyBorder="1" applyAlignment="1">
      <alignment horizontal="center" vertical="center" wrapText="1"/>
    </xf>
    <xf numFmtId="0" fontId="0" fillId="5" borderId="0" xfId="0" applyFill="1"/>
    <xf numFmtId="0" fontId="6" fillId="3" borderId="1" xfId="3" applyFont="1" applyBorder="1" applyProtection="1">
      <protection locked="0"/>
    </xf>
    <xf numFmtId="0" fontId="2" fillId="2" borderId="1" xfId="2" quotePrefix="1" applyBorder="1"/>
    <xf numFmtId="0" fontId="2" fillId="2" borderId="1" xfId="2" applyBorder="1" applyAlignment="1">
      <alignment horizontal="center"/>
    </xf>
    <xf numFmtId="0" fontId="0" fillId="0" borderId="0" xfId="0" applyProtection="1"/>
    <xf numFmtId="0" fontId="0" fillId="5" borderId="0" xfId="0" applyFill="1" applyProtection="1">
      <protection locked="0"/>
    </xf>
    <xf numFmtId="0" fontId="4" fillId="5" borderId="19" xfId="0" applyFont="1" applyFill="1" applyBorder="1" applyAlignment="1" applyProtection="1">
      <alignment horizontal="center" vertical="center" wrapText="1"/>
      <protection locked="0"/>
    </xf>
    <xf numFmtId="13" fontId="5" fillId="5" borderId="15" xfId="0" quotePrefix="1" applyNumberFormat="1" applyFont="1" applyFill="1" applyBorder="1" applyAlignment="1" applyProtection="1">
      <alignment horizontal="center" vertical="center" wrapText="1"/>
      <protection locked="0"/>
    </xf>
    <xf numFmtId="13" fontId="5" fillId="5" borderId="4" xfId="0" quotePrefix="1" applyNumberFormat="1" applyFont="1" applyFill="1" applyBorder="1" applyAlignment="1" applyProtection="1">
      <alignment horizontal="center" vertical="center" wrapText="1"/>
      <protection locked="0"/>
    </xf>
    <xf numFmtId="13" fontId="5" fillId="5" borderId="11" xfId="0" quotePrefix="1" applyNumberFormat="1" applyFont="1" applyFill="1" applyBorder="1" applyAlignment="1" applyProtection="1">
      <alignment horizontal="center" vertical="center" wrapText="1"/>
      <protection locked="0"/>
    </xf>
    <xf numFmtId="13" fontId="5" fillId="5" borderId="10" xfId="0" quotePrefix="1" applyNumberFormat="1" applyFont="1" applyFill="1" applyBorder="1" applyAlignment="1" applyProtection="1">
      <alignment horizontal="center" vertical="center" wrapText="1"/>
      <protection locked="0"/>
    </xf>
    <xf numFmtId="0" fontId="0" fillId="0" borderId="0" xfId="0" quotePrefix="1"/>
    <xf numFmtId="9" fontId="0" fillId="0" borderId="1" xfId="1" applyFont="1" applyBorder="1" applyAlignment="1">
      <alignment horizontal="right"/>
    </xf>
    <xf numFmtId="1" fontId="0" fillId="0" borderId="1" xfId="0" applyNumberFormat="1" applyBorder="1" applyAlignment="1">
      <alignment horizontal="right"/>
    </xf>
    <xf numFmtId="0" fontId="0" fillId="0" borderId="1" xfId="0" applyBorder="1" applyAlignment="1">
      <alignment horizontal="right"/>
    </xf>
    <xf numFmtId="0" fontId="7" fillId="0" borderId="0" xfId="0" applyFont="1"/>
    <xf numFmtId="9" fontId="0" fillId="0" borderId="0" xfId="1" applyFont="1" applyBorder="1" applyAlignment="1">
      <alignment horizontal="right"/>
    </xf>
    <xf numFmtId="1" fontId="0" fillId="0" borderId="0" xfId="0" applyNumberFormat="1" applyBorder="1" applyAlignment="1">
      <alignment horizontal="right"/>
    </xf>
    <xf numFmtId="0" fontId="0" fillId="0" borderId="0" xfId="0" applyBorder="1" applyAlignment="1">
      <alignment horizontal="right"/>
    </xf>
    <xf numFmtId="0" fontId="9" fillId="2" borderId="1" xfId="2" applyFont="1" applyBorder="1"/>
    <xf numFmtId="17" fontId="9" fillId="2" borderId="1" xfId="2" applyNumberFormat="1" applyFont="1" applyBorder="1"/>
    <xf numFmtId="0" fontId="9" fillId="2" borderId="1" xfId="2" applyFont="1" applyBorder="1" applyAlignment="1">
      <alignment horizontal="center"/>
    </xf>
    <xf numFmtId="0" fontId="10" fillId="6" borderId="1" xfId="4" applyFont="1" applyBorder="1" applyAlignment="1">
      <alignment horizontal="left"/>
    </xf>
    <xf numFmtId="0" fontId="0" fillId="0" borderId="1" xfId="1" quotePrefix="1" applyNumberFormat="1" applyFont="1" applyBorder="1" applyAlignment="1">
      <alignment horizontal="right"/>
    </xf>
    <xf numFmtId="0" fontId="0" fillId="0" borderId="27" xfId="1" applyNumberFormat="1" applyFont="1" applyBorder="1" applyAlignment="1">
      <alignment horizontal="right"/>
    </xf>
    <xf numFmtId="49" fontId="0" fillId="0" borderId="0" xfId="0" applyNumberFormat="1"/>
    <xf numFmtId="0" fontId="0" fillId="0" borderId="0" xfId="0" applyNumberFormat="1"/>
    <xf numFmtId="165" fontId="0" fillId="0" borderId="1" xfId="5" applyNumberFormat="1" applyFont="1" applyBorder="1" applyAlignment="1">
      <alignment horizontal="right"/>
    </xf>
    <xf numFmtId="164" fontId="0" fillId="0" borderId="1" xfId="5" applyNumberFormat="1" applyFont="1" applyBorder="1"/>
    <xf numFmtId="166" fontId="0" fillId="0" borderId="1" xfId="5" applyNumberFormat="1" applyFont="1" applyBorder="1"/>
    <xf numFmtId="49" fontId="0" fillId="0" borderId="1" xfId="0" applyNumberFormat="1" applyBorder="1" applyAlignment="1">
      <alignment horizontal="center"/>
    </xf>
    <xf numFmtId="0" fontId="0" fillId="0" borderId="1" xfId="0" applyBorder="1" applyAlignment="1">
      <alignment horizontal="center"/>
    </xf>
    <xf numFmtId="0" fontId="9" fillId="2" borderId="1" xfId="2" applyFont="1" applyBorder="1" applyAlignment="1">
      <alignment horizontal="center"/>
    </xf>
    <xf numFmtId="0" fontId="9" fillId="2" borderId="31" xfId="2" applyFont="1" applyBorder="1" applyAlignment="1">
      <alignment horizontal="center"/>
    </xf>
    <xf numFmtId="0" fontId="9" fillId="2" borderId="32" xfId="2" applyFont="1" applyBorder="1" applyAlignment="1">
      <alignment horizontal="center"/>
    </xf>
    <xf numFmtId="49" fontId="0" fillId="0" borderId="31" xfId="0" applyNumberFormat="1" applyBorder="1" applyAlignment="1">
      <alignment horizontal="center"/>
    </xf>
    <xf numFmtId="166" fontId="0" fillId="0" borderId="32" xfId="5" applyNumberFormat="1" applyFont="1" applyBorder="1"/>
    <xf numFmtId="0" fontId="0" fillId="0" borderId="31" xfId="0" applyBorder="1" applyAlignment="1">
      <alignment horizontal="center"/>
    </xf>
    <xf numFmtId="49" fontId="0" fillId="0" borderId="33" xfId="0" applyNumberFormat="1" applyBorder="1" applyAlignment="1">
      <alignment horizontal="center"/>
    </xf>
    <xf numFmtId="49" fontId="0" fillId="0" borderId="34" xfId="0" applyNumberFormat="1" applyBorder="1" applyAlignment="1">
      <alignment horizontal="center"/>
    </xf>
    <xf numFmtId="165" fontId="0" fillId="0" borderId="34" xfId="5" applyNumberFormat="1" applyFont="1" applyBorder="1" applyAlignment="1">
      <alignment horizontal="right"/>
    </xf>
    <xf numFmtId="164" fontId="0" fillId="0" borderId="34" xfId="5" applyNumberFormat="1" applyFont="1" applyBorder="1"/>
    <xf numFmtId="166" fontId="0" fillId="0" borderId="34" xfId="5" applyNumberFormat="1" applyFont="1" applyBorder="1"/>
    <xf numFmtId="166" fontId="0" fillId="0" borderId="35" xfId="5" applyNumberFormat="1" applyFont="1" applyBorder="1"/>
    <xf numFmtId="1" fontId="0" fillId="0" borderId="0" xfId="0" applyNumberFormat="1"/>
    <xf numFmtId="16" fontId="2" fillId="2" borderId="1" xfId="2" quotePrefix="1" applyNumberFormat="1" applyBorder="1"/>
    <xf numFmtId="0" fontId="9" fillId="2" borderId="1" xfId="2" applyFont="1" applyBorder="1" applyAlignment="1">
      <alignment horizontal="center"/>
    </xf>
    <xf numFmtId="0" fontId="0" fillId="0" borderId="0" xfId="0" applyAlignment="1">
      <alignment vertical="center"/>
    </xf>
    <xf numFmtId="0" fontId="0" fillId="8" borderId="1" xfId="1" applyNumberFormat="1" applyFont="1" applyFill="1" applyBorder="1" applyAlignment="1">
      <alignment horizontal="right"/>
    </xf>
    <xf numFmtId="0" fontId="0" fillId="0" borderId="0" xfId="0" applyAlignment="1">
      <alignment horizontal="right"/>
    </xf>
    <xf numFmtId="0" fontId="13" fillId="0" borderId="0" xfId="0" applyFont="1"/>
    <xf numFmtId="0" fontId="14" fillId="0" borderId="0" xfId="0" applyFont="1"/>
    <xf numFmtId="0" fontId="13" fillId="3" borderId="1" xfId="3" applyFont="1" applyBorder="1" applyProtection="1">
      <protection locked="0"/>
    </xf>
    <xf numFmtId="1" fontId="13" fillId="0" borderId="1" xfId="0" applyNumberFormat="1" applyFont="1" applyBorder="1" applyAlignment="1">
      <alignment horizontal="right"/>
    </xf>
    <xf numFmtId="9" fontId="13" fillId="0" borderId="1" xfId="1" applyFont="1" applyBorder="1" applyAlignment="1">
      <alignment horizontal="right"/>
    </xf>
    <xf numFmtId="0" fontId="13" fillId="2" borderId="1" xfId="2" applyFont="1" applyBorder="1"/>
    <xf numFmtId="0" fontId="13" fillId="6" borderId="1" xfId="4" applyFont="1" applyBorder="1"/>
    <xf numFmtId="0" fontId="13" fillId="2" borderId="1" xfId="2" applyFont="1" applyBorder="1" applyAlignment="1">
      <alignment horizontal="center"/>
    </xf>
    <xf numFmtId="17" fontId="13" fillId="2" borderId="1" xfId="2" applyNumberFormat="1" applyFont="1" applyBorder="1"/>
    <xf numFmtId="165" fontId="0" fillId="0" borderId="0" xfId="0" applyNumberFormat="1"/>
    <xf numFmtId="9" fontId="15" fillId="5" borderId="0" xfId="0" applyNumberFormat="1" applyFont="1" applyFill="1" applyAlignment="1">
      <alignment horizontal="left"/>
    </xf>
    <xf numFmtId="0" fontId="15" fillId="5" borderId="0" xfId="0" applyFont="1" applyFill="1" applyAlignment="1">
      <alignment horizontal="left"/>
    </xf>
    <xf numFmtId="0" fontId="9" fillId="2" borderId="1" xfId="2" applyFont="1" applyBorder="1" applyAlignment="1">
      <alignment horizontal="center"/>
    </xf>
    <xf numFmtId="49" fontId="0" fillId="0" borderId="1" xfId="0" quotePrefix="1" applyNumberFormat="1" applyBorder="1" applyAlignment="1">
      <alignment horizontal="center"/>
    </xf>
    <xf numFmtId="9" fontId="13" fillId="3" borderId="1" xfId="1" applyFont="1" applyFill="1" applyBorder="1" applyProtection="1">
      <protection locked="0"/>
    </xf>
    <xf numFmtId="0" fontId="16" fillId="0" borderId="0" xfId="0" applyFont="1"/>
    <xf numFmtId="0" fontId="4" fillId="5" borderId="1" xfId="0" applyFont="1" applyFill="1" applyBorder="1" applyAlignment="1">
      <alignment horizontal="center" vertical="center" wrapText="1"/>
    </xf>
    <xf numFmtId="13" fontId="5" fillId="5" borderId="1" xfId="0" quotePrefix="1" applyNumberFormat="1" applyFont="1" applyFill="1" applyBorder="1" applyAlignment="1">
      <alignment horizontal="center" vertical="center" wrapText="1"/>
    </xf>
    <xf numFmtId="16" fontId="5" fillId="5" borderId="0" xfId="0" applyNumberFormat="1" applyFont="1" applyFill="1" applyBorder="1" applyAlignment="1">
      <alignment vertical="center" wrapText="1"/>
    </xf>
    <xf numFmtId="17" fontId="5" fillId="5" borderId="1" xfId="0" quotePrefix="1" applyNumberFormat="1" applyFont="1" applyFill="1" applyBorder="1" applyAlignment="1">
      <alignment horizontal="center" vertical="center" wrapText="1"/>
    </xf>
    <xf numFmtId="16" fontId="5" fillId="5" borderId="1" xfId="0" quotePrefix="1" applyNumberFormat="1" applyFont="1" applyFill="1" applyBorder="1" applyAlignment="1">
      <alignment horizontal="center" vertical="center" wrapText="1"/>
    </xf>
    <xf numFmtId="1" fontId="0" fillId="5" borderId="0" xfId="0" applyNumberFormat="1" applyFill="1"/>
    <xf numFmtId="0" fontId="5" fillId="5" borderId="1" xfId="0" quotePrefix="1" applyFont="1" applyFill="1" applyBorder="1" applyAlignment="1">
      <alignment horizontal="center" vertical="center" wrapText="1"/>
    </xf>
    <xf numFmtId="43" fontId="0" fillId="5" borderId="0" xfId="5" applyFont="1" applyFill="1"/>
    <xf numFmtId="0" fontId="13" fillId="0" borderId="0" xfId="0" applyFont="1" applyBorder="1"/>
    <xf numFmtId="9" fontId="13" fillId="0" borderId="0" xfId="1" applyFont="1" applyBorder="1" applyAlignment="1">
      <alignment horizontal="right"/>
    </xf>
    <xf numFmtId="0" fontId="13" fillId="6" borderId="1" xfId="4" applyFont="1" applyBorder="1" applyAlignment="1">
      <alignment horizontal="left"/>
    </xf>
    <xf numFmtId="0" fontId="1" fillId="9" borderId="1" xfId="6" quotePrefix="1" applyNumberFormat="1" applyBorder="1" applyAlignment="1">
      <alignment horizontal="right"/>
    </xf>
    <xf numFmtId="0" fontId="0" fillId="9" borderId="1" xfId="6" quotePrefix="1" applyNumberFormat="1" applyFont="1" applyBorder="1" applyAlignment="1">
      <alignment horizontal="right"/>
    </xf>
    <xf numFmtId="9" fontId="17" fillId="5" borderId="0" xfId="0" applyNumberFormat="1" applyFont="1" applyFill="1" applyAlignment="1">
      <alignment horizontal="left"/>
    </xf>
    <xf numFmtId="0" fontId="18" fillId="5" borderId="0" xfId="0" applyFont="1" applyFill="1"/>
    <xf numFmtId="0" fontId="17" fillId="5" borderId="36" xfId="0" applyFont="1" applyFill="1" applyBorder="1" applyAlignment="1">
      <alignment horizontal="left"/>
    </xf>
    <xf numFmtId="0" fontId="18" fillId="5" borderId="36" xfId="0" applyFont="1" applyFill="1" applyBorder="1"/>
    <xf numFmtId="16" fontId="0" fillId="9" borderId="1" xfId="6" quotePrefix="1" applyNumberFormat="1" applyFont="1" applyBorder="1" applyAlignment="1">
      <alignment horizontal="right"/>
    </xf>
    <xf numFmtId="17" fontId="2" fillId="2" borderId="1" xfId="2" quotePrefix="1" applyNumberFormat="1" applyBorder="1"/>
    <xf numFmtId="0" fontId="19" fillId="0" borderId="0" xfId="0" applyFont="1"/>
    <xf numFmtId="0" fontId="12" fillId="7" borderId="0" xfId="0" applyFont="1" applyFill="1" applyProtection="1">
      <protection locked="0"/>
    </xf>
    <xf numFmtId="0" fontId="0" fillId="7" borderId="0" xfId="0" applyFill="1" applyProtection="1">
      <protection locked="0"/>
    </xf>
    <xf numFmtId="0" fontId="7" fillId="5" borderId="0" xfId="0" applyFont="1" applyFill="1" applyAlignment="1" applyProtection="1">
      <alignment horizontal="right"/>
      <protection locked="0"/>
    </xf>
    <xf numFmtId="0" fontId="7" fillId="7" borderId="0" xfId="0" applyFont="1" applyFill="1" applyAlignment="1" applyProtection="1">
      <alignment horizontal="center"/>
      <protection locked="0"/>
    </xf>
    <xf numFmtId="0" fontId="0" fillId="5" borderId="0" xfId="0" applyFill="1" applyAlignment="1" applyProtection="1">
      <alignment horizontal="center"/>
      <protection locked="0"/>
    </xf>
    <xf numFmtId="9" fontId="15" fillId="5" borderId="0" xfId="0" applyNumberFormat="1" applyFont="1" applyFill="1" applyAlignment="1" applyProtection="1">
      <alignment horizontal="left"/>
      <protection locked="0"/>
    </xf>
    <xf numFmtId="0" fontId="0" fillId="0" borderId="7" xfId="0" applyBorder="1" applyAlignment="1">
      <alignment vertical="center"/>
    </xf>
    <xf numFmtId="0" fontId="0" fillId="0" borderId="8" xfId="0" applyBorder="1"/>
    <xf numFmtId="0" fontId="0" fillId="0" borderId="9" xfId="0" applyBorder="1"/>
    <xf numFmtId="0" fontId="0" fillId="0" borderId="37" xfId="0" applyBorder="1" applyAlignment="1">
      <alignment vertical="center"/>
    </xf>
    <xf numFmtId="0" fontId="0" fillId="0" borderId="0" xfId="0" applyBorder="1"/>
    <xf numFmtId="0" fontId="0" fillId="0" borderId="38" xfId="0" applyBorder="1"/>
    <xf numFmtId="0" fontId="0" fillId="0" borderId="24" xfId="0"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xf numFmtId="0" fontId="23" fillId="0" borderId="0" xfId="7" applyAlignment="1">
      <alignment vertical="center"/>
    </xf>
    <xf numFmtId="0" fontId="22" fillId="0" borderId="0" xfId="0" applyFont="1" applyAlignment="1">
      <alignment vertical="center"/>
    </xf>
    <xf numFmtId="0" fontId="7" fillId="5" borderId="0" xfId="0" applyFont="1" applyFill="1" applyProtection="1">
      <protection locked="0"/>
    </xf>
    <xf numFmtId="0" fontId="0" fillId="0" borderId="37" xfId="0" applyBorder="1"/>
    <xf numFmtId="0" fontId="0" fillId="0" borderId="25" xfId="0" applyBorder="1"/>
    <xf numFmtId="0" fontId="0" fillId="0" borderId="26" xfId="0" applyBorder="1"/>
    <xf numFmtId="6" fontId="0" fillId="0" borderId="0" xfId="0" applyNumberFormat="1" applyAlignment="1">
      <alignment horizontal="left"/>
    </xf>
    <xf numFmtId="0" fontId="0" fillId="0" borderId="24" xfId="0" applyBorder="1"/>
    <xf numFmtId="0" fontId="0" fillId="0" borderId="25" xfId="0" applyBorder="1"/>
    <xf numFmtId="0" fontId="0" fillId="0" borderId="26" xfId="0" applyBorder="1"/>
    <xf numFmtId="17" fontId="0" fillId="9" borderId="1" xfId="6" quotePrefix="1" applyNumberFormat="1" applyFont="1" applyBorder="1" applyAlignment="1">
      <alignment horizontal="right"/>
    </xf>
    <xf numFmtId="0" fontId="7" fillId="0" borderId="7" xfId="0" applyFont="1" applyBorder="1"/>
    <xf numFmtId="0" fontId="7" fillId="0" borderId="8" xfId="0" applyFont="1" applyBorder="1"/>
    <xf numFmtId="2" fontId="0" fillId="0" borderId="0" xfId="0" applyNumberFormat="1" applyBorder="1"/>
    <xf numFmtId="1" fontId="0" fillId="0" borderId="25" xfId="0" applyNumberFormat="1" applyBorder="1" applyAlignment="1">
      <alignment horizontal="right"/>
    </xf>
    <xf numFmtId="1" fontId="13" fillId="3" borderId="1" xfId="3" applyNumberFormat="1" applyFont="1" applyBorder="1" applyProtection="1">
      <protection locked="0"/>
    </xf>
    <xf numFmtId="1" fontId="0" fillId="0" borderId="1" xfId="0" applyNumberFormat="1" applyBorder="1"/>
    <xf numFmtId="0" fontId="0" fillId="10" borderId="0" xfId="0" applyFill="1" applyAlignment="1" applyProtection="1">
      <alignment horizontal="right"/>
      <protection locked="0"/>
    </xf>
    <xf numFmtId="0" fontId="24" fillId="0" borderId="0" xfId="0" applyFont="1" applyAlignment="1">
      <alignment vertical="center"/>
    </xf>
    <xf numFmtId="0" fontId="24" fillId="0" borderId="0" xfId="0" applyFont="1"/>
    <xf numFmtId="0" fontId="0" fillId="0" borderId="24" xfId="0" applyBorder="1"/>
    <xf numFmtId="0" fontId="0" fillId="0" borderId="25" xfId="0" applyBorder="1"/>
    <xf numFmtId="0" fontId="0" fillId="0" borderId="26" xfId="0" applyBorder="1"/>
    <xf numFmtId="0" fontId="9" fillId="2" borderId="0" xfId="2" applyFont="1" applyBorder="1" applyAlignment="1">
      <alignment horizontal="left"/>
    </xf>
    <xf numFmtId="0" fontId="0" fillId="0" borderId="37" xfId="0" applyBorder="1" applyAlignment="1">
      <alignment wrapText="1"/>
    </xf>
    <xf numFmtId="0" fontId="0" fillId="0" borderId="0" xfId="0" applyBorder="1" applyAlignment="1">
      <alignment wrapText="1"/>
    </xf>
    <xf numFmtId="0" fontId="0" fillId="0" borderId="38" xfId="0" applyBorder="1" applyAlignment="1">
      <alignment wrapText="1"/>
    </xf>
    <xf numFmtId="0" fontId="0" fillId="0" borderId="37" xfId="0" applyBorder="1"/>
    <xf numFmtId="0" fontId="0" fillId="0" borderId="0" xfId="0" applyBorder="1"/>
    <xf numFmtId="0" fontId="0" fillId="0" borderId="38" xfId="0" applyBorder="1"/>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9" fillId="2" borderId="31" xfId="2" applyFont="1" applyBorder="1" applyAlignment="1">
      <alignment horizontal="center"/>
    </xf>
    <xf numFmtId="0" fontId="9" fillId="2" borderId="1" xfId="2" applyFont="1" applyBorder="1" applyAlignment="1">
      <alignment horizontal="center"/>
    </xf>
    <xf numFmtId="0" fontId="9" fillId="2" borderId="32" xfId="2" applyFont="1" applyBorder="1" applyAlignment="1">
      <alignment horizontal="center"/>
    </xf>
    <xf numFmtId="0" fontId="11" fillId="2" borderId="28" xfId="2" applyFont="1" applyBorder="1" applyAlignment="1">
      <alignment horizontal="center"/>
    </xf>
    <xf numFmtId="0" fontId="11" fillId="2" borderId="29" xfId="2" applyFont="1" applyBorder="1" applyAlignment="1">
      <alignment horizontal="center"/>
    </xf>
    <xf numFmtId="0" fontId="11" fillId="2" borderId="30" xfId="2" applyFont="1" applyBorder="1" applyAlignment="1">
      <alignment horizontal="center"/>
    </xf>
    <xf numFmtId="0" fontId="2" fillId="2" borderId="1" xfId="2" applyBorder="1" applyAlignment="1">
      <alignment horizontal="center"/>
    </xf>
    <xf numFmtId="0" fontId="2" fillId="2" borderId="3" xfId="2" applyBorder="1" applyAlignment="1">
      <alignment horizontal="center" vertical="center"/>
    </xf>
    <xf numFmtId="0" fontId="2" fillId="2" borderId="2" xfId="2" applyBorder="1" applyAlignment="1">
      <alignment horizontal="center" vertical="center"/>
    </xf>
    <xf numFmtId="0" fontId="2" fillId="2" borderId="1" xfId="2" applyBorder="1" applyAlignment="1">
      <alignment horizontal="center" vertical="center"/>
    </xf>
  </cellXfs>
  <cellStyles count="8">
    <cellStyle name="40% - Accent4" xfId="6" builtinId="43"/>
    <cellStyle name="Bad" xfId="4" builtinId="27"/>
    <cellStyle name="Comma" xfId="5" builtinId="3"/>
    <cellStyle name="Good" xfId="2" builtinId="26"/>
    <cellStyle name="Hyperlink" xfId="7" builtinId="8"/>
    <cellStyle name="Neutral" xfId="3"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17.gif"/><Relationship Id="rId2" Type="http://schemas.openxmlformats.org/officeDocument/2006/relationships/image" Target="../media/image16.jpg"/><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 Id="rId1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image" Target="../media/image21.emf"/><Relationship Id="rId7"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24.emf"/><Relationship Id="rId5" Type="http://schemas.openxmlformats.org/officeDocument/2006/relationships/image" Target="../media/image23.emf"/><Relationship Id="rId10" Type="http://schemas.openxmlformats.org/officeDocument/2006/relationships/image" Target="../media/image27.emf"/><Relationship Id="rId4" Type="http://schemas.openxmlformats.org/officeDocument/2006/relationships/image" Target="../media/image22.emf"/><Relationship Id="rId9"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xdr:twoCellAnchor editAs="absolute">
    <xdr:from>
      <xdr:col>12</xdr:col>
      <xdr:colOff>238125</xdr:colOff>
      <xdr:row>4</xdr:row>
      <xdr:rowOff>19050</xdr:rowOff>
    </xdr:from>
    <xdr:to>
      <xdr:col>12</xdr:col>
      <xdr:colOff>1497343</xdr:colOff>
      <xdr:row>27</xdr:row>
      <xdr:rowOff>104775</xdr:rowOff>
    </xdr:to>
    <xdr:pic>
      <xdr:nvPicPr>
        <xdr:cNvPr id="17" name="Picture 16"/>
        <xdr:cNvPicPr>
          <a:picLocks noChangeAspect="1"/>
        </xdr:cNvPicPr>
      </xdr:nvPicPr>
      <xdr:blipFill>
        <a:blip xmlns:r="http://schemas.openxmlformats.org/officeDocument/2006/relationships" r:embed="rId1"/>
        <a:stretch>
          <a:fillRect/>
        </a:stretch>
      </xdr:blipFill>
      <xdr:spPr>
        <a:xfrm>
          <a:off x="9439275" y="1019175"/>
          <a:ext cx="1259218" cy="446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762000</xdr:colOff>
          <xdr:row>0</xdr:row>
          <xdr:rowOff>361950</xdr:rowOff>
        </xdr:from>
        <xdr:to>
          <xdr:col>6</xdr:col>
          <xdr:colOff>628650</xdr:colOff>
          <xdr:row>2</xdr:row>
          <xdr:rowOff>9525</xdr:rowOff>
        </xdr:to>
        <xdr:sp macro="" textlink="">
          <xdr:nvSpPr>
            <xdr:cNvPr id="1025" name="UnitsButtonMetric" hidden="1">
              <a:extLst>
                <a:ext uri="{63B3BB69-23CF-44E3-9099-C40C66FF867C}">
                  <a14:compatExt spid="_x0000_s1025"/>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xdr:row>
          <xdr:rowOff>171450</xdr:rowOff>
        </xdr:from>
        <xdr:to>
          <xdr:col>6</xdr:col>
          <xdr:colOff>561975</xdr:colOff>
          <xdr:row>3</xdr:row>
          <xdr:rowOff>142875</xdr:rowOff>
        </xdr:to>
        <xdr:sp macro="" textlink="">
          <xdr:nvSpPr>
            <xdr:cNvPr id="1026" name="UnitsButtonImperial" hidden="1">
              <a:extLst>
                <a:ext uri="{63B3BB69-23CF-44E3-9099-C40C66FF867C}">
                  <a14:compatExt spid="_x0000_s102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904875</xdr:colOff>
          <xdr:row>7</xdr:row>
          <xdr:rowOff>123825</xdr:rowOff>
        </xdr:from>
        <xdr:to>
          <xdr:col>20</xdr:col>
          <xdr:colOff>266700</xdr:colOff>
          <xdr:row>9</xdr:row>
          <xdr:rowOff>9525</xdr:rowOff>
        </xdr:to>
        <xdr:sp macro="" textlink="">
          <xdr:nvSpPr>
            <xdr:cNvPr id="1028" name="TextBox2"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971550</xdr:colOff>
          <xdr:row>12</xdr:row>
          <xdr:rowOff>19050</xdr:rowOff>
        </xdr:from>
        <xdr:to>
          <xdr:col>20</xdr:col>
          <xdr:colOff>0</xdr:colOff>
          <xdr:row>13</xdr:row>
          <xdr:rowOff>95250</xdr:rowOff>
        </xdr:to>
        <xdr:sp macro="" textlink="">
          <xdr:nvSpPr>
            <xdr:cNvPr id="1029" name="TextBox3"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952500</xdr:colOff>
          <xdr:row>19</xdr:row>
          <xdr:rowOff>9525</xdr:rowOff>
        </xdr:from>
        <xdr:to>
          <xdr:col>20</xdr:col>
          <xdr:colOff>38100</xdr:colOff>
          <xdr:row>20</xdr:row>
          <xdr:rowOff>85725</xdr:rowOff>
        </xdr:to>
        <xdr:sp macro="" textlink="">
          <xdr:nvSpPr>
            <xdr:cNvPr id="1030" name="TextBox4"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1200150</xdr:colOff>
          <xdr:row>21</xdr:row>
          <xdr:rowOff>66675</xdr:rowOff>
        </xdr:from>
        <xdr:to>
          <xdr:col>20</xdr:col>
          <xdr:colOff>466725</xdr:colOff>
          <xdr:row>22</xdr:row>
          <xdr:rowOff>142875</xdr:rowOff>
        </xdr:to>
        <xdr:sp macro="" textlink="">
          <xdr:nvSpPr>
            <xdr:cNvPr id="1031" name="TextBox5"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twoCellAnchor editAs="oneCell">
    <xdr:from>
      <xdr:col>7</xdr:col>
      <xdr:colOff>390525</xdr:colOff>
      <xdr:row>0</xdr:row>
      <xdr:rowOff>161925</xdr:rowOff>
    </xdr:from>
    <xdr:to>
      <xdr:col>9</xdr:col>
      <xdr:colOff>219075</xdr:colOff>
      <xdr:row>5</xdr:row>
      <xdr:rowOff>66675</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05525" y="161925"/>
          <a:ext cx="1095375" cy="1095375"/>
        </a:xfrm>
        <a:prstGeom prst="rect">
          <a:avLst/>
        </a:prstGeom>
      </xdr:spPr>
    </xdr:pic>
    <xdr:clientData/>
  </xdr:twoCellAnchor>
  <xdr:twoCellAnchor editAs="absolute">
    <xdr:from>
      <xdr:col>8</xdr:col>
      <xdr:colOff>352425</xdr:colOff>
      <xdr:row>29</xdr:row>
      <xdr:rowOff>133350</xdr:rowOff>
    </xdr:from>
    <xdr:to>
      <xdr:col>12</xdr:col>
      <xdr:colOff>1933575</xdr:colOff>
      <xdr:row>49</xdr:row>
      <xdr:rowOff>9525</xdr:rowOff>
    </xdr:to>
    <xdr:grpSp>
      <xdr:nvGrpSpPr>
        <xdr:cNvPr id="8" name="Group 7"/>
        <xdr:cNvGrpSpPr/>
      </xdr:nvGrpSpPr>
      <xdr:grpSpPr>
        <a:xfrm>
          <a:off x="6762750" y="5895975"/>
          <a:ext cx="4371975" cy="3686175"/>
          <a:chOff x="5553075" y="6019800"/>
          <a:chExt cx="4371975" cy="3686175"/>
        </a:xfrm>
      </xdr:grpSpPr>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2699" y="6019800"/>
            <a:ext cx="2659829" cy="3686175"/>
          </a:xfrm>
          <a:prstGeom prst="rect">
            <a:avLst/>
          </a:prstGeom>
        </xdr:spPr>
      </xdr:pic>
      <mc:AlternateContent xmlns:mc="http://schemas.openxmlformats.org/markup-compatibility/2006">
        <mc:Choice xmlns:a14="http://schemas.microsoft.com/office/drawing/2010/main" Requires="a14">
          <xdr:sp macro="" textlink="">
            <xdr:nvSpPr>
              <xdr:cNvPr id="1032" name="TextBox6" hidden="1">
                <a:extLst>
                  <a:ext uri="{63B3BB69-23CF-44E3-9099-C40C66FF867C}">
                    <a14:compatExt spid="_x0000_s1032"/>
                  </a:ext>
                </a:extLst>
              </xdr:cNvPr>
              <xdr:cNvSpPr/>
            </xdr:nvSpPr>
            <xdr:spPr>
              <a:xfrm>
                <a:off x="7886700" y="6610350"/>
                <a:ext cx="2038350" cy="26670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033" name="TextBox7" hidden="1">
                <a:extLst>
                  <a:ext uri="{63B3BB69-23CF-44E3-9099-C40C66FF867C}">
                    <a14:compatExt spid="_x0000_s1033"/>
                  </a:ext>
                </a:extLst>
              </xdr:cNvPr>
              <xdr:cNvSpPr/>
            </xdr:nvSpPr>
            <xdr:spPr>
              <a:xfrm>
                <a:off x="7829550" y="7553325"/>
                <a:ext cx="2000250" cy="26670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034" name="TextBox8" hidden="1">
                <a:extLst>
                  <a:ext uri="{63B3BB69-23CF-44E3-9099-C40C66FF867C}">
                    <a14:compatExt spid="_x0000_s1034"/>
                  </a:ext>
                </a:extLst>
              </xdr:cNvPr>
              <xdr:cNvSpPr/>
            </xdr:nvSpPr>
            <xdr:spPr>
              <a:xfrm>
                <a:off x="5553075" y="7553325"/>
                <a:ext cx="2000250" cy="266700"/>
              </a:xfrm>
              <a:prstGeom prst="rect">
                <a:avLst/>
              </a:prstGeom>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9</xdr:col>
          <xdr:colOff>66675</xdr:colOff>
          <xdr:row>7</xdr:row>
          <xdr:rowOff>123825</xdr:rowOff>
        </xdr:from>
        <xdr:to>
          <xdr:col>12</xdr:col>
          <xdr:colOff>781050</xdr:colOff>
          <xdr:row>9</xdr:row>
          <xdr:rowOff>9525</xdr:rowOff>
        </xdr:to>
        <xdr:sp macro="" textlink="">
          <xdr:nvSpPr>
            <xdr:cNvPr id="1036" name="TextBox10"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485775</xdr:colOff>
          <xdr:row>12</xdr:row>
          <xdr:rowOff>28575</xdr:rowOff>
        </xdr:from>
        <xdr:to>
          <xdr:col>12</xdr:col>
          <xdr:colOff>676275</xdr:colOff>
          <xdr:row>13</xdr:row>
          <xdr:rowOff>104775</xdr:rowOff>
        </xdr:to>
        <xdr:sp macro="" textlink="">
          <xdr:nvSpPr>
            <xdr:cNvPr id="1037" name="TextBox11"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685800</xdr:colOff>
          <xdr:row>19</xdr:row>
          <xdr:rowOff>19050</xdr:rowOff>
        </xdr:from>
        <xdr:to>
          <xdr:col>12</xdr:col>
          <xdr:colOff>704850</xdr:colOff>
          <xdr:row>20</xdr:row>
          <xdr:rowOff>95250</xdr:rowOff>
        </xdr:to>
        <xdr:sp macro="" textlink="">
          <xdr:nvSpPr>
            <xdr:cNvPr id="1038" name="TextBox12"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485775</xdr:colOff>
          <xdr:row>4</xdr:row>
          <xdr:rowOff>38100</xdr:rowOff>
        </xdr:from>
        <xdr:to>
          <xdr:col>12</xdr:col>
          <xdr:colOff>523875</xdr:colOff>
          <xdr:row>5</xdr:row>
          <xdr:rowOff>114300</xdr:rowOff>
        </xdr:to>
        <xdr:sp macro="" textlink="">
          <xdr:nvSpPr>
            <xdr:cNvPr id="1040" name="TextBox13"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981075</xdr:colOff>
          <xdr:row>4</xdr:row>
          <xdr:rowOff>28575</xdr:rowOff>
        </xdr:from>
        <xdr:to>
          <xdr:col>20</xdr:col>
          <xdr:colOff>85725</xdr:colOff>
          <xdr:row>5</xdr:row>
          <xdr:rowOff>104775</xdr:rowOff>
        </xdr:to>
        <xdr:sp macro="" textlink="">
          <xdr:nvSpPr>
            <xdr:cNvPr id="1041" name="TextBox14"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xdr:row>
          <xdr:rowOff>114300</xdr:rowOff>
        </xdr:from>
        <xdr:to>
          <xdr:col>3</xdr:col>
          <xdr:colOff>114300</xdr:colOff>
          <xdr:row>4</xdr:row>
          <xdr:rowOff>0</xdr:rowOff>
        </xdr:to>
        <xdr:sp macro="" textlink="">
          <xdr:nvSpPr>
            <xdr:cNvPr id="2049" name="OptionButton1" hidden="1">
              <a:extLst>
                <a:ext uri="{63B3BB69-23CF-44E3-9099-C40C66FF867C}">
                  <a14:compatExt spid="_x0000_s2049"/>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xdr:row>
          <xdr:rowOff>161925</xdr:rowOff>
        </xdr:from>
        <xdr:to>
          <xdr:col>3</xdr:col>
          <xdr:colOff>114300</xdr:colOff>
          <xdr:row>5</xdr:row>
          <xdr:rowOff>47625</xdr:rowOff>
        </xdr:to>
        <xdr:sp macro="" textlink="">
          <xdr:nvSpPr>
            <xdr:cNvPr id="2050" name="OptionButton2" hidden="1">
              <a:extLst>
                <a:ext uri="{63B3BB69-23CF-44E3-9099-C40C66FF867C}">
                  <a14:compatExt spid="_x0000_s2050"/>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11</xdr:col>
      <xdr:colOff>447676</xdr:colOff>
      <xdr:row>3</xdr:row>
      <xdr:rowOff>171450</xdr:rowOff>
    </xdr:from>
    <xdr:to>
      <xdr:col>12</xdr:col>
      <xdr:colOff>287669</xdr:colOff>
      <xdr:row>27</xdr:row>
      <xdr:rowOff>57150</xdr:rowOff>
    </xdr:to>
    <xdr:pic>
      <xdr:nvPicPr>
        <xdr:cNvPr id="4" name="Picture 3"/>
        <xdr:cNvPicPr>
          <a:picLocks noChangeAspect="1"/>
        </xdr:cNvPicPr>
      </xdr:nvPicPr>
      <xdr:blipFill>
        <a:blip xmlns:r="http://schemas.openxmlformats.org/officeDocument/2006/relationships" r:embed="rId1"/>
        <a:stretch>
          <a:fillRect/>
        </a:stretch>
      </xdr:blipFill>
      <xdr:spPr>
        <a:xfrm>
          <a:off x="7505701" y="742950"/>
          <a:ext cx="1259218" cy="446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295275</xdr:colOff>
          <xdr:row>5</xdr:row>
          <xdr:rowOff>180975</xdr:rowOff>
        </xdr:from>
        <xdr:to>
          <xdr:col>11</xdr:col>
          <xdr:colOff>866775</xdr:colOff>
          <xdr:row>7</xdr:row>
          <xdr:rowOff>66675</xdr:rowOff>
        </xdr:to>
        <xdr:sp macro="" textlink="">
          <xdr:nvSpPr>
            <xdr:cNvPr id="2057" name="TextBox6"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95250</xdr:rowOff>
        </xdr:from>
        <xdr:to>
          <xdr:col>11</xdr:col>
          <xdr:colOff>838200</xdr:colOff>
          <xdr:row>12</xdr:row>
          <xdr:rowOff>114300</xdr:rowOff>
        </xdr:to>
        <xdr:sp macro="" textlink="">
          <xdr:nvSpPr>
            <xdr:cNvPr id="2058" name="TextBox7"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18</xdr:row>
          <xdr:rowOff>28575</xdr:rowOff>
        </xdr:from>
        <xdr:to>
          <xdr:col>11</xdr:col>
          <xdr:colOff>876300</xdr:colOff>
          <xdr:row>19</xdr:row>
          <xdr:rowOff>104775</xdr:rowOff>
        </xdr:to>
        <xdr:sp macro="" textlink="">
          <xdr:nvSpPr>
            <xdr:cNvPr id="2059" name="TextBox8"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0</xdr:rowOff>
        </xdr:from>
        <xdr:to>
          <xdr:col>11</xdr:col>
          <xdr:colOff>695325</xdr:colOff>
          <xdr:row>21</xdr:row>
          <xdr:rowOff>76200</xdr:rowOff>
        </xdr:to>
        <xdr:sp macro="" textlink="">
          <xdr:nvSpPr>
            <xdr:cNvPr id="2060" name="TextBox9"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0</xdr:rowOff>
        </xdr:from>
        <xdr:to>
          <xdr:col>12</xdr:col>
          <xdr:colOff>1009650</xdr:colOff>
          <xdr:row>21</xdr:row>
          <xdr:rowOff>76200</xdr:rowOff>
        </xdr:to>
        <xdr:sp macro="" textlink="">
          <xdr:nvSpPr>
            <xdr:cNvPr id="2056" name="TextBox5"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1247775</xdr:colOff>
          <xdr:row>18</xdr:row>
          <xdr:rowOff>28575</xdr:rowOff>
        </xdr:from>
        <xdr:to>
          <xdr:col>12</xdr:col>
          <xdr:colOff>847725</xdr:colOff>
          <xdr:row>19</xdr:row>
          <xdr:rowOff>47625</xdr:rowOff>
        </xdr:to>
        <xdr:sp macro="" textlink="">
          <xdr:nvSpPr>
            <xdr:cNvPr id="2061" name="TextBox10"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1238250</xdr:colOff>
          <xdr:row>11</xdr:row>
          <xdr:rowOff>95250</xdr:rowOff>
        </xdr:from>
        <xdr:to>
          <xdr:col>12</xdr:col>
          <xdr:colOff>800100</xdr:colOff>
          <xdr:row>12</xdr:row>
          <xdr:rowOff>114300</xdr:rowOff>
        </xdr:to>
        <xdr:sp macro="" textlink="">
          <xdr:nvSpPr>
            <xdr:cNvPr id="2062" name="TextBox3"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1266825</xdr:colOff>
          <xdr:row>5</xdr:row>
          <xdr:rowOff>180975</xdr:rowOff>
        </xdr:from>
        <xdr:to>
          <xdr:col>12</xdr:col>
          <xdr:colOff>1104900</xdr:colOff>
          <xdr:row>7</xdr:row>
          <xdr:rowOff>57150</xdr:rowOff>
        </xdr:to>
        <xdr:sp macro="" textlink="">
          <xdr:nvSpPr>
            <xdr:cNvPr id="2063" name="TextBox1"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485775</xdr:colOff>
      <xdr:row>105</xdr:row>
      <xdr:rowOff>133350</xdr:rowOff>
    </xdr:from>
    <xdr:to>
      <xdr:col>8</xdr:col>
      <xdr:colOff>228600</xdr:colOff>
      <xdr:row>119</xdr:row>
      <xdr:rowOff>95250</xdr:rowOff>
    </xdr:to>
    <xdr:pic>
      <xdr:nvPicPr>
        <xdr:cNvPr id="2"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20402550"/>
          <a:ext cx="157162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103</xdr:row>
      <xdr:rowOff>180975</xdr:rowOff>
    </xdr:from>
    <xdr:to>
      <xdr:col>5</xdr:col>
      <xdr:colOff>152400</xdr:colOff>
      <xdr:row>132</xdr:row>
      <xdr:rowOff>28575</xdr:rowOff>
    </xdr:to>
    <xdr:pic>
      <xdr:nvPicPr>
        <xdr:cNvPr id="3" name="Chart 47"/>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069175"/>
          <a:ext cx="3200400" cy="537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129</xdr:row>
      <xdr:rowOff>114300</xdr:rowOff>
    </xdr:from>
    <xdr:to>
      <xdr:col>10</xdr:col>
      <xdr:colOff>28575</xdr:colOff>
      <xdr:row>139</xdr:row>
      <xdr:rowOff>95250</xdr:rowOff>
    </xdr:to>
    <xdr:pic>
      <xdr:nvPicPr>
        <xdr:cNvPr id="4" name="Picture 4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955500"/>
          <a:ext cx="6124575" cy="188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7.xml"/><Relationship Id="rId13" Type="http://schemas.openxmlformats.org/officeDocument/2006/relationships/image" Target="../media/image22.emf"/><Relationship Id="rId18" Type="http://schemas.openxmlformats.org/officeDocument/2006/relationships/control" Target="../activeX/activeX22.xml"/><Relationship Id="rId3" Type="http://schemas.openxmlformats.org/officeDocument/2006/relationships/vmlDrawing" Target="../drawings/vmlDrawing2.vml"/><Relationship Id="rId21" Type="http://schemas.openxmlformats.org/officeDocument/2006/relationships/image" Target="../media/image26.emf"/><Relationship Id="rId7" Type="http://schemas.openxmlformats.org/officeDocument/2006/relationships/image" Target="../media/image19.emf"/><Relationship Id="rId12" Type="http://schemas.openxmlformats.org/officeDocument/2006/relationships/control" Target="../activeX/activeX19.xml"/><Relationship Id="rId17" Type="http://schemas.openxmlformats.org/officeDocument/2006/relationships/image" Target="../media/image24.emf"/><Relationship Id="rId2" Type="http://schemas.openxmlformats.org/officeDocument/2006/relationships/drawing" Target="../drawings/drawing2.xml"/><Relationship Id="rId16" Type="http://schemas.openxmlformats.org/officeDocument/2006/relationships/control" Target="../activeX/activeX21.xml"/><Relationship Id="rId20" Type="http://schemas.openxmlformats.org/officeDocument/2006/relationships/control" Target="../activeX/activeX23.xml"/><Relationship Id="rId1" Type="http://schemas.openxmlformats.org/officeDocument/2006/relationships/printerSettings" Target="../printerSettings/printerSettings4.bin"/><Relationship Id="rId6" Type="http://schemas.openxmlformats.org/officeDocument/2006/relationships/control" Target="../activeX/activeX16.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23.emf"/><Relationship Id="rId23" Type="http://schemas.openxmlformats.org/officeDocument/2006/relationships/image" Target="../media/image27.emf"/><Relationship Id="rId10" Type="http://schemas.openxmlformats.org/officeDocument/2006/relationships/control" Target="../activeX/activeX18.xml"/><Relationship Id="rId19" Type="http://schemas.openxmlformats.org/officeDocument/2006/relationships/image" Target="../media/image25.emf"/><Relationship Id="rId4" Type="http://schemas.openxmlformats.org/officeDocument/2006/relationships/control" Target="../activeX/activeX15.xml"/><Relationship Id="rId9" Type="http://schemas.openxmlformats.org/officeDocument/2006/relationships/image" Target="../media/image20.emf"/><Relationship Id="rId14" Type="http://schemas.openxmlformats.org/officeDocument/2006/relationships/control" Target="../activeX/activeX20.xml"/><Relationship Id="rId22" Type="http://schemas.openxmlformats.org/officeDocument/2006/relationships/control" Target="../activeX/activeX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36"/>
  <sheetViews>
    <sheetView showGridLines="0" zoomScaleNormal="100" workbookViewId="0">
      <selection activeCell="Z15" sqref="Z15"/>
    </sheetView>
  </sheetViews>
  <sheetFormatPr defaultRowHeight="15" x14ac:dyDescent="0.25"/>
  <cols>
    <col min="3" max="3" width="18.7109375" customWidth="1"/>
    <col min="4" max="4" width="11.42578125" customWidth="1"/>
    <col min="5" max="5" width="13.42578125" customWidth="1"/>
    <col min="6" max="6" width="14.42578125" customWidth="1"/>
    <col min="7" max="7" width="10" customWidth="1"/>
    <col min="8" max="8" width="9.85546875" bestFit="1" customWidth="1"/>
    <col min="10" max="10" width="12.42578125" customWidth="1"/>
    <col min="11" max="12" width="10.140625" bestFit="1" customWidth="1"/>
    <col min="13" max="13" width="35.5703125" customWidth="1"/>
    <col min="14" max="14" width="25.7109375" style="39" hidden="1" customWidth="1"/>
    <col min="15" max="15" width="18.140625" style="39" hidden="1" customWidth="1"/>
    <col min="16" max="16" width="26.7109375" style="39" hidden="1" customWidth="1"/>
    <col min="17" max="17" width="8.42578125" style="39" hidden="1" customWidth="1"/>
    <col min="18" max="18" width="29.85546875" style="34" hidden="1" customWidth="1"/>
    <col min="19" max="19" width="2.42578125" style="34" hidden="1" customWidth="1"/>
    <col min="20" max="20" width="11.140625" customWidth="1"/>
  </cols>
  <sheetData>
    <row r="1" spans="1:21" ht="33.75" x14ac:dyDescent="0.65">
      <c r="A1" s="84"/>
      <c r="B1" s="84"/>
      <c r="C1" s="85" t="s">
        <v>134</v>
      </c>
      <c r="D1" s="84"/>
      <c r="M1" s="83" t="s">
        <v>322</v>
      </c>
      <c r="N1" s="39" t="s">
        <v>36</v>
      </c>
      <c r="O1" s="39" t="s">
        <v>36</v>
      </c>
      <c r="P1" s="39" t="s">
        <v>36</v>
      </c>
      <c r="R1" s="34" t="s">
        <v>36</v>
      </c>
      <c r="S1" s="34" t="s">
        <v>36</v>
      </c>
      <c r="T1" s="153" t="s">
        <v>320</v>
      </c>
      <c r="U1" s="83" t="s">
        <v>321</v>
      </c>
    </row>
    <row r="2" spans="1:21" x14ac:dyDescent="0.25">
      <c r="A2" s="84"/>
      <c r="B2" s="84"/>
      <c r="C2" s="84"/>
      <c r="D2" s="84"/>
      <c r="M2" s="83" t="s">
        <v>319</v>
      </c>
      <c r="O2" s="39" t="s">
        <v>104</v>
      </c>
      <c r="P2" s="39" t="b">
        <v>0</v>
      </c>
      <c r="T2" s="78">
        <f>0.73756215 *U2*1000</f>
        <v>48236.564610000009</v>
      </c>
      <c r="U2">
        <v>65.400000000000006</v>
      </c>
    </row>
    <row r="3" spans="1:21" x14ac:dyDescent="0.25">
      <c r="A3" s="84"/>
      <c r="B3" s="84"/>
      <c r="C3" s="89" t="s">
        <v>119</v>
      </c>
      <c r="D3" s="151">
        <v>72000</v>
      </c>
      <c r="E3" t="s">
        <v>109</v>
      </c>
      <c r="M3" s="83" t="s">
        <v>323</v>
      </c>
      <c r="O3" s="120" t="s">
        <v>100</v>
      </c>
      <c r="P3" s="39" t="str">
        <f>IF(IsMetric,"Kg","Lbs")</f>
        <v>Lbs</v>
      </c>
      <c r="T3">
        <v>72000</v>
      </c>
    </row>
    <row r="4" spans="1:21" x14ac:dyDescent="0.25">
      <c r="A4" s="84"/>
      <c r="B4" s="84"/>
      <c r="C4" s="89" t="s">
        <v>43</v>
      </c>
      <c r="D4" s="86">
        <v>11.2</v>
      </c>
      <c r="O4" s="120" t="s">
        <v>101</v>
      </c>
      <c r="P4" s="39" t="str">
        <f>CurrentPageUnits</f>
        <v>Lbs</v>
      </c>
    </row>
    <row r="5" spans="1:21" x14ac:dyDescent="0.25">
      <c r="A5" s="84"/>
      <c r="B5" s="84"/>
      <c r="C5" s="89" t="str">
        <f>CONCATENATE("Shroud Load  (",WorkBookUnits,")")</f>
        <v>Shroud Load  (Lbs)</v>
      </c>
      <c r="D5" s="87">
        <f>RightingMoment30*1.5/(Beam/2)*unit_conversion</f>
        <v>19285.714285714286</v>
      </c>
      <c r="E5" s="45" t="s">
        <v>103</v>
      </c>
      <c r="O5" s="120" t="s">
        <v>116</v>
      </c>
      <c r="P5" s="39">
        <f>IF(IsMetric,lbs_to_kg,1)</f>
        <v>1</v>
      </c>
    </row>
    <row r="6" spans="1:21" x14ac:dyDescent="0.25">
      <c r="A6" s="84"/>
      <c r="B6" s="84"/>
      <c r="C6" s="84"/>
      <c r="D6" s="84"/>
      <c r="O6" s="121" t="s">
        <v>121</v>
      </c>
      <c r="P6" s="39" t="str">
        <f>IF(IsMetric,"mm","""")</f>
        <v>"</v>
      </c>
    </row>
    <row r="7" spans="1:21" x14ac:dyDescent="0.25">
      <c r="A7" s="84"/>
      <c r="B7" s="84"/>
      <c r="C7" s="89" t="s">
        <v>41</v>
      </c>
      <c r="D7" s="86">
        <v>2.5</v>
      </c>
      <c r="F7" s="89" t="s">
        <v>108</v>
      </c>
      <c r="G7" s="86">
        <v>1.2</v>
      </c>
      <c r="H7" s="99" t="s">
        <v>129</v>
      </c>
      <c r="O7" s="121"/>
    </row>
    <row r="8" spans="1:21" x14ac:dyDescent="0.25">
      <c r="A8" s="84"/>
      <c r="B8" s="84"/>
      <c r="C8" s="89" t="s">
        <v>317</v>
      </c>
      <c r="D8" s="152">
        <f>SafetyFactor*ShroudLoad</f>
        <v>48214.285714285717</v>
      </c>
      <c r="F8" s="89" t="s">
        <v>114</v>
      </c>
      <c r="G8" s="98">
        <v>0.45</v>
      </c>
      <c r="H8" s="99" t="s">
        <v>115</v>
      </c>
      <c r="O8" s="121"/>
    </row>
    <row r="9" spans="1:21" x14ac:dyDescent="0.25">
      <c r="A9" s="84"/>
      <c r="B9" s="84"/>
      <c r="C9" s="119" t="s">
        <v>132</v>
      </c>
      <c r="D9" s="84"/>
      <c r="H9" s="99"/>
      <c r="O9" s="121"/>
    </row>
    <row r="10" spans="1:21" x14ac:dyDescent="0.25">
      <c r="A10" s="84"/>
      <c r="B10" s="84"/>
      <c r="C10" s="84"/>
      <c r="D10" s="84"/>
      <c r="O10" s="121"/>
      <c r="P10" s="138"/>
      <c r="R10" s="138"/>
    </row>
    <row r="11" spans="1:21" x14ac:dyDescent="0.25">
      <c r="A11" s="84"/>
      <c r="B11" s="84"/>
      <c r="C11" s="90" t="s">
        <v>51</v>
      </c>
      <c r="D11" s="91" t="s">
        <v>40</v>
      </c>
      <c r="E11" s="55" t="str">
        <f>CONCATENATE("1x19 Load (",CurrentPageUnits,")")</f>
        <v>1x19 Load (Lbs)</v>
      </c>
      <c r="F11" s="55" t="str">
        <f>CONCATENATE("Min BL (",CurrentPageUnits,")")</f>
        <v>Min BL (Lbs)</v>
      </c>
      <c r="G11" s="55" t="s">
        <v>47</v>
      </c>
      <c r="H11" s="55" t="s">
        <v>48</v>
      </c>
      <c r="I11" s="55" t="s">
        <v>46</v>
      </c>
      <c r="N11" s="122" t="s">
        <v>110</v>
      </c>
      <c r="O11" s="123" t="s">
        <v>111</v>
      </c>
      <c r="P11" s="138" t="s">
        <v>290</v>
      </c>
      <c r="R11" s="138" t="s">
        <v>291</v>
      </c>
    </row>
    <row r="12" spans="1:21" x14ac:dyDescent="0.25">
      <c r="A12" s="84"/>
      <c r="B12" s="84"/>
      <c r="C12" s="92" t="s">
        <v>55</v>
      </c>
      <c r="D12" s="88">
        <v>0.25</v>
      </c>
      <c r="E12" s="47">
        <f t="shared" ref="E12:E18" si="0">D12*ShroudLoad</f>
        <v>4821.4285714285716</v>
      </c>
      <c r="F12" s="47">
        <f t="shared" ref="F12:F18" si="1">SafetyFactor*E12</f>
        <v>12053.571428571429</v>
      </c>
      <c r="G12" s="48" t="str">
        <f t="shared" ref="G12:G18" si="2">HLOOKUP(N12,wire_bs,2)</f>
        <v>9/32</v>
      </c>
      <c r="H12" s="48" t="str">
        <f t="shared" ref="H12:H18" si="3">HLOOKUP(N12,wire_bs,3)</f>
        <v>5/16</v>
      </c>
      <c r="I12" s="46">
        <f t="shared" ref="I12:I18" si="4">($N12-HLOOKUP($N12,wire_bs,1))/(HLOOKUP($N12,wire_bs,4)-HLOOKUP($N12,wire_bs,1))</f>
        <v>0.89800000000000002</v>
      </c>
      <c r="J12" s="45"/>
      <c r="N12" s="39">
        <f t="shared" ref="N12:N18" si="5">ROUND(D12*ShroudLoad*SafetyFactor/unit_conversion,0)</f>
        <v>12054</v>
      </c>
      <c r="O12" s="124" t="str">
        <f t="shared" ref="O12:O18" si="6">IF(I12&gt;Wire_Threshold,H12,G12)</f>
        <v>5/16</v>
      </c>
      <c r="P12" s="125" t="str">
        <f t="shared" ref="P12:P18" si="7">CONCATENATE(Q12," ",ROUND(100*D12,0),"% - ",ROUND(E12,0),IF(IsMetric,"kg","lbs")," Use ",IF(IsMetric,O22,O12),size_units)</f>
        <v>D1 25% - 4821lbs Use 5/16"</v>
      </c>
      <c r="Q12" s="34" t="s">
        <v>106</v>
      </c>
      <c r="R12" s="125" t="str">
        <f t="shared" ref="R12:R18" si="8">CONCATENATE(ROUND(100*D12,0),"% - ",ROUND(E12,0),IF(IsMetric,"kg","lbs")," Use ",IF(IsMetric,O22,O12),size_units," ",S12)</f>
        <v>25% - 4821lbs Use 5/16" D1</v>
      </c>
      <c r="S12" s="34" t="s">
        <v>106</v>
      </c>
    </row>
    <row r="13" spans="1:21" x14ac:dyDescent="0.25">
      <c r="A13" s="84"/>
      <c r="B13" s="84"/>
      <c r="C13" s="89" t="s">
        <v>2</v>
      </c>
      <c r="D13" s="88">
        <v>0.5</v>
      </c>
      <c r="E13" s="47">
        <f t="shared" si="0"/>
        <v>9642.8571428571431</v>
      </c>
      <c r="F13" s="47">
        <f>SafetyFactor*E13</f>
        <v>24107.142857142859</v>
      </c>
      <c r="G13" s="48" t="str">
        <f>HLOOKUP(N13,wire_bs,2)</f>
        <v>7/16</v>
      </c>
      <c r="H13" s="48" t="str">
        <f>HLOOKUP(N13,wire_bs,3)</f>
        <v>1/2</v>
      </c>
      <c r="I13" s="46">
        <f>($N13-HLOOKUP($N13,wire_bs,1))/(HLOOKUP($N13,wire_bs,4)-HLOOKUP($N13,wire_bs,1))</f>
        <v>0.11816508937960042</v>
      </c>
      <c r="N13" s="39">
        <f t="shared" si="5"/>
        <v>24107</v>
      </c>
      <c r="O13" s="124" t="str">
        <f t="shared" si="6"/>
        <v>7/16</v>
      </c>
      <c r="P13" s="125" t="str">
        <f t="shared" si="7"/>
        <v>V1 50% - 9643lbs Use 7/16"</v>
      </c>
      <c r="Q13" s="34" t="s">
        <v>2</v>
      </c>
      <c r="R13" s="125" t="str">
        <f t="shared" si="8"/>
        <v>50% - 9643lbs Use 7/16" V1</v>
      </c>
      <c r="S13" s="34" t="s">
        <v>2</v>
      </c>
    </row>
    <row r="14" spans="1:21" x14ac:dyDescent="0.25">
      <c r="A14" s="84"/>
      <c r="B14" s="84"/>
      <c r="C14" s="89" t="s">
        <v>53</v>
      </c>
      <c r="D14" s="88">
        <v>0.28999999999999998</v>
      </c>
      <c r="E14" s="47">
        <f t="shared" si="0"/>
        <v>5592.8571428571422</v>
      </c>
      <c r="F14" s="47">
        <f t="shared" si="1"/>
        <v>13982.142857142855</v>
      </c>
      <c r="G14" s="48" t="str">
        <f t="shared" si="2"/>
        <v>5/16</v>
      </c>
      <c r="H14" s="48" t="str">
        <f t="shared" si="3"/>
        <v>3/8</v>
      </c>
      <c r="I14" s="46">
        <f t="shared" si="4"/>
        <v>0.32182539682539685</v>
      </c>
      <c r="N14" s="39">
        <f t="shared" si="5"/>
        <v>13982</v>
      </c>
      <c r="O14" s="124" t="str">
        <f t="shared" si="6"/>
        <v>5/16</v>
      </c>
      <c r="P14" s="125" t="str">
        <f t="shared" si="7"/>
        <v>D2 29% - 5593lbs Use 5/16"</v>
      </c>
      <c r="Q14" s="34" t="s">
        <v>0</v>
      </c>
      <c r="R14" s="125" t="str">
        <f t="shared" si="8"/>
        <v>29% - 5593lbs Use 5/16" V1/D2</v>
      </c>
      <c r="S14" s="34" t="s">
        <v>292</v>
      </c>
    </row>
    <row r="15" spans="1:21" x14ac:dyDescent="0.25">
      <c r="A15" s="84"/>
      <c r="B15" s="84"/>
      <c r="C15" s="89" t="s">
        <v>54</v>
      </c>
      <c r="D15" s="88">
        <v>0.3</v>
      </c>
      <c r="E15" s="47">
        <f t="shared" si="0"/>
        <v>5785.7142857142853</v>
      </c>
      <c r="F15" s="47">
        <f t="shared" si="1"/>
        <v>14464.285714285714</v>
      </c>
      <c r="G15" s="48" t="str">
        <f t="shared" si="2"/>
        <v>5/16</v>
      </c>
      <c r="H15" s="48" t="str">
        <f t="shared" si="3"/>
        <v>3/8</v>
      </c>
      <c r="I15" s="46">
        <f t="shared" si="4"/>
        <v>0.41746031746031748</v>
      </c>
      <c r="N15" s="39">
        <f t="shared" si="5"/>
        <v>14464</v>
      </c>
      <c r="O15" s="124" t="str">
        <f t="shared" si="6"/>
        <v>5/16</v>
      </c>
      <c r="P15" s="125" t="str">
        <f t="shared" si="7"/>
        <v>V2/D3 30% - 5786lbs Use 5/16"</v>
      </c>
      <c r="Q15" s="34" t="s">
        <v>294</v>
      </c>
      <c r="R15" s="125" t="str">
        <f t="shared" si="8"/>
        <v>30% - 5786lbs Use 5/16" V1/V2/D3</v>
      </c>
      <c r="S15" s="34" t="s">
        <v>293</v>
      </c>
    </row>
    <row r="16" spans="1:21" x14ac:dyDescent="0.25">
      <c r="A16" s="84"/>
      <c r="B16" s="84"/>
      <c r="C16" s="89" t="s">
        <v>38</v>
      </c>
      <c r="D16" s="88">
        <v>0.3</v>
      </c>
      <c r="E16" s="47">
        <f t="shared" si="0"/>
        <v>5785.7142857142853</v>
      </c>
      <c r="F16" s="47">
        <f t="shared" si="1"/>
        <v>14464.285714285714</v>
      </c>
      <c r="G16" s="48" t="str">
        <f t="shared" si="2"/>
        <v>5/16</v>
      </c>
      <c r="H16" s="48" t="str">
        <f t="shared" si="3"/>
        <v>3/8</v>
      </c>
      <c r="I16" s="46">
        <f t="shared" si="4"/>
        <v>0.41746031746031748</v>
      </c>
      <c r="N16" s="39">
        <f t="shared" si="5"/>
        <v>14464</v>
      </c>
      <c r="O16" s="124" t="str">
        <f t="shared" si="6"/>
        <v>5/16</v>
      </c>
      <c r="P16" s="125" t="str">
        <f t="shared" si="7"/>
        <v xml:space="preserve"> 30% - 5786lbs Use 5/16"</v>
      </c>
      <c r="Q16" s="34"/>
      <c r="R16" s="125" t="str">
        <f t="shared" si="8"/>
        <v xml:space="preserve">30% - 5786lbs Use 5/16" </v>
      </c>
    </row>
    <row r="17" spans="1:18" x14ac:dyDescent="0.25">
      <c r="A17" s="84"/>
      <c r="B17" s="84"/>
      <c r="C17" s="89" t="s">
        <v>39</v>
      </c>
      <c r="D17" s="88">
        <v>0.25</v>
      </c>
      <c r="E17" s="47">
        <f t="shared" si="0"/>
        <v>4821.4285714285716</v>
      </c>
      <c r="F17" s="47">
        <f t="shared" si="1"/>
        <v>12053.571428571429</v>
      </c>
      <c r="G17" s="48" t="str">
        <f t="shared" si="2"/>
        <v>9/32</v>
      </c>
      <c r="H17" s="48" t="str">
        <f t="shared" si="3"/>
        <v>5/16</v>
      </c>
      <c r="I17" s="46">
        <f t="shared" si="4"/>
        <v>0.89800000000000002</v>
      </c>
      <c r="N17" s="39">
        <f t="shared" si="5"/>
        <v>12054</v>
      </c>
      <c r="O17" s="124" t="str">
        <f t="shared" si="6"/>
        <v>5/16</v>
      </c>
      <c r="P17" s="125" t="str">
        <f t="shared" si="7"/>
        <v xml:space="preserve"> 25% - 4821lbs Use 5/16"</v>
      </c>
      <c r="Q17" s="34"/>
      <c r="R17" s="125" t="str">
        <f t="shared" si="8"/>
        <v xml:space="preserve">25% - 4821lbs Use 5/16" </v>
      </c>
    </row>
    <row r="18" spans="1:18" x14ac:dyDescent="0.25">
      <c r="A18" s="84"/>
      <c r="B18" s="84"/>
      <c r="C18" s="89" t="s">
        <v>102</v>
      </c>
      <c r="D18" s="88">
        <v>0.25</v>
      </c>
      <c r="E18" s="47">
        <f t="shared" si="0"/>
        <v>4821.4285714285716</v>
      </c>
      <c r="F18" s="47">
        <f t="shared" si="1"/>
        <v>12053.571428571429</v>
      </c>
      <c r="G18" s="48" t="str">
        <f t="shared" si="2"/>
        <v>9/32</v>
      </c>
      <c r="H18" s="48" t="str">
        <f t="shared" si="3"/>
        <v>5/16</v>
      </c>
      <c r="I18" s="46">
        <f t="shared" si="4"/>
        <v>0.89800000000000002</v>
      </c>
      <c r="N18" s="39">
        <f t="shared" si="5"/>
        <v>12054</v>
      </c>
      <c r="O18" s="124" t="str">
        <f t="shared" si="6"/>
        <v>5/16</v>
      </c>
      <c r="P18" s="125" t="str">
        <f t="shared" si="7"/>
        <v xml:space="preserve"> 25% - 4821lbs Use 5/16"</v>
      </c>
      <c r="Q18" s="34"/>
      <c r="R18" s="125" t="str">
        <f t="shared" si="8"/>
        <v xml:space="preserve">25% - 4821lbs Use 5/16" </v>
      </c>
    </row>
    <row r="19" spans="1:18" x14ac:dyDescent="0.25">
      <c r="A19" s="84"/>
      <c r="B19" s="84"/>
      <c r="C19" s="108"/>
      <c r="D19" s="109"/>
      <c r="E19" s="51"/>
      <c r="F19" s="51"/>
      <c r="G19" s="52"/>
      <c r="H19" s="52"/>
      <c r="I19" s="50"/>
      <c r="O19" s="124"/>
      <c r="Q19" s="34"/>
      <c r="R19" s="39"/>
    </row>
    <row r="20" spans="1:18" x14ac:dyDescent="0.25">
      <c r="A20" s="84"/>
      <c r="B20" s="84"/>
      <c r="C20" s="108"/>
      <c r="D20" s="109"/>
      <c r="E20" s="51"/>
      <c r="F20" s="51"/>
      <c r="G20" s="52"/>
      <c r="H20" s="52"/>
      <c r="I20" s="50"/>
      <c r="O20" s="124"/>
      <c r="Q20" s="34"/>
      <c r="R20" s="39"/>
    </row>
    <row r="21" spans="1:18" x14ac:dyDescent="0.25">
      <c r="A21" s="84"/>
      <c r="B21" s="84"/>
      <c r="C21" s="110" t="s">
        <v>52</v>
      </c>
      <c r="D21" s="91" t="str">
        <f t="shared" ref="D21:I21" si="9">D11</f>
        <v>% of Load</v>
      </c>
      <c r="E21" s="55" t="str">
        <f t="shared" si="9"/>
        <v>1x19 Load (Lbs)</v>
      </c>
      <c r="F21" s="55" t="str">
        <f t="shared" si="9"/>
        <v>Min BL (Lbs)</v>
      </c>
      <c r="G21" s="80" t="str">
        <f t="shared" si="9"/>
        <v>Wire Low</v>
      </c>
      <c r="H21" s="80" t="str">
        <f t="shared" si="9"/>
        <v>Wire High</v>
      </c>
      <c r="I21" s="80" t="str">
        <f t="shared" si="9"/>
        <v>Delta</v>
      </c>
      <c r="O21" s="124"/>
      <c r="Q21" s="34"/>
      <c r="R21" s="39"/>
    </row>
    <row r="22" spans="1:18" x14ac:dyDescent="0.25">
      <c r="A22" s="84"/>
      <c r="B22" s="84"/>
      <c r="C22" s="92" t="s">
        <v>55</v>
      </c>
      <c r="D22" s="88">
        <v>0.25</v>
      </c>
      <c r="E22" s="47">
        <f t="shared" ref="E22:E28" si="10">D22*ShroudLoad</f>
        <v>4821.4285714285716</v>
      </c>
      <c r="F22" s="47">
        <f t="shared" ref="F22:F28" si="11">SafetyFactor*E22</f>
        <v>12053.571428571429</v>
      </c>
      <c r="G22" s="48" t="str">
        <f t="shared" ref="G22:G28" si="12">HLOOKUP($N22,wire_bs_metric,2)</f>
        <v>7</v>
      </c>
      <c r="H22" s="48" t="str">
        <f t="shared" ref="H22:H28" si="13">HLOOKUP($F22/unit_conversion,wire_bs_metric,3)</f>
        <v>8</v>
      </c>
      <c r="I22" s="46">
        <f t="shared" ref="I22:I28" si="14">($N22-HLOOKUP($N22,wire_bs,1))/(HLOOKUP($N22,wire_bs,4)-HLOOKUP($N22,wire_bs,1))</f>
        <v>0.89800000000000002</v>
      </c>
      <c r="N22" s="39">
        <f t="shared" ref="N22:N28" si="15">ROUND(D22*ShroudLoad*SafetyFactor/unit_conversion,0)</f>
        <v>12054</v>
      </c>
      <c r="O22" s="124" t="str">
        <f t="shared" ref="O22:O28" si="16">IF(I22&gt;Wire_Threshold,H22,G22)</f>
        <v>8</v>
      </c>
      <c r="P22" s="125"/>
      <c r="Q22" s="34"/>
      <c r="R22" s="125"/>
    </row>
    <row r="23" spans="1:18" x14ac:dyDescent="0.25">
      <c r="A23" s="84"/>
      <c r="B23" s="84"/>
      <c r="C23" s="89" t="s">
        <v>2</v>
      </c>
      <c r="D23" s="88">
        <v>0.5</v>
      </c>
      <c r="E23" s="47">
        <f t="shared" si="10"/>
        <v>9642.8571428571431</v>
      </c>
      <c r="F23" s="47">
        <f>SafetyFactor*E23</f>
        <v>24107.142857142859</v>
      </c>
      <c r="G23" s="48" t="str">
        <f t="shared" si="12"/>
        <v>11</v>
      </c>
      <c r="H23" s="48" t="str">
        <f t="shared" si="13"/>
        <v>12</v>
      </c>
      <c r="I23" s="46">
        <f>($N23-HLOOKUP($N23,wire_bs,1))/(HLOOKUP($N23,wire_bs,4)-HLOOKUP($N23,wire_bs,1))</f>
        <v>0.11816508937960042</v>
      </c>
      <c r="N23" s="39">
        <f t="shared" si="15"/>
        <v>24107</v>
      </c>
      <c r="O23" s="124" t="str">
        <f t="shared" si="16"/>
        <v>11</v>
      </c>
      <c r="P23" s="125"/>
      <c r="Q23" s="34"/>
      <c r="R23" s="125"/>
    </row>
    <row r="24" spans="1:18" x14ac:dyDescent="0.25">
      <c r="C24" s="53" t="s">
        <v>53</v>
      </c>
      <c r="D24" s="46">
        <v>0.28999999999999998</v>
      </c>
      <c r="E24" s="47">
        <f t="shared" si="10"/>
        <v>5592.8571428571422</v>
      </c>
      <c r="F24" s="47">
        <f t="shared" si="11"/>
        <v>13982.142857142855</v>
      </c>
      <c r="G24" s="48" t="str">
        <f t="shared" si="12"/>
        <v>8</v>
      </c>
      <c r="H24" s="48" t="str">
        <f t="shared" si="13"/>
        <v>10</v>
      </c>
      <c r="I24" s="46">
        <f t="shared" si="14"/>
        <v>0.32182539682539685</v>
      </c>
      <c r="N24" s="39">
        <f t="shared" si="15"/>
        <v>13982</v>
      </c>
      <c r="O24" s="124" t="str">
        <f t="shared" si="16"/>
        <v>8</v>
      </c>
      <c r="P24" s="125"/>
      <c r="Q24" s="34"/>
      <c r="R24" s="125"/>
    </row>
    <row r="25" spans="1:18" x14ac:dyDescent="0.25">
      <c r="C25" s="53" t="s">
        <v>54</v>
      </c>
      <c r="D25" s="46">
        <v>0.3</v>
      </c>
      <c r="E25" s="47">
        <f t="shared" si="10"/>
        <v>5785.7142857142853</v>
      </c>
      <c r="F25" s="47">
        <f t="shared" si="11"/>
        <v>14464.285714285714</v>
      </c>
      <c r="G25" s="48" t="str">
        <f t="shared" si="12"/>
        <v>8</v>
      </c>
      <c r="H25" s="48" t="str">
        <f t="shared" si="13"/>
        <v>10</v>
      </c>
      <c r="I25" s="46">
        <f t="shared" si="14"/>
        <v>0.41746031746031748</v>
      </c>
      <c r="N25" s="39">
        <f t="shared" si="15"/>
        <v>14464</v>
      </c>
      <c r="O25" s="124" t="str">
        <f t="shared" si="16"/>
        <v>8</v>
      </c>
      <c r="P25" s="125"/>
      <c r="Q25" s="34"/>
      <c r="R25" s="125"/>
    </row>
    <row r="26" spans="1:18" x14ac:dyDescent="0.25">
      <c r="C26" s="53" t="s">
        <v>38</v>
      </c>
      <c r="D26" s="46">
        <v>0.3</v>
      </c>
      <c r="E26" s="47">
        <f t="shared" si="10"/>
        <v>5785.7142857142853</v>
      </c>
      <c r="F26" s="47">
        <f t="shared" si="11"/>
        <v>14464.285714285714</v>
      </c>
      <c r="G26" s="48" t="str">
        <f t="shared" si="12"/>
        <v>8</v>
      </c>
      <c r="H26" s="48" t="str">
        <f t="shared" si="13"/>
        <v>10</v>
      </c>
      <c r="I26" s="46">
        <f t="shared" si="14"/>
        <v>0.41746031746031748</v>
      </c>
      <c r="N26" s="39">
        <f t="shared" si="15"/>
        <v>14464</v>
      </c>
      <c r="O26" s="124" t="str">
        <f t="shared" si="16"/>
        <v>8</v>
      </c>
      <c r="P26" s="125"/>
      <c r="R26" s="125"/>
    </row>
    <row r="27" spans="1:18" x14ac:dyDescent="0.25">
      <c r="C27" s="53" t="s">
        <v>39</v>
      </c>
      <c r="D27" s="46">
        <v>0.25</v>
      </c>
      <c r="E27" s="47">
        <f t="shared" si="10"/>
        <v>4821.4285714285716</v>
      </c>
      <c r="F27" s="47">
        <f t="shared" si="11"/>
        <v>12053.571428571429</v>
      </c>
      <c r="G27" s="48" t="str">
        <f t="shared" si="12"/>
        <v>7</v>
      </c>
      <c r="H27" s="48" t="str">
        <f t="shared" si="13"/>
        <v>8</v>
      </c>
      <c r="I27" s="46">
        <f t="shared" si="14"/>
        <v>0.89800000000000002</v>
      </c>
      <c r="N27" s="39">
        <f t="shared" si="15"/>
        <v>12054</v>
      </c>
      <c r="O27" s="124" t="str">
        <f t="shared" si="16"/>
        <v>8</v>
      </c>
      <c r="P27" s="125"/>
      <c r="R27" s="125"/>
    </row>
    <row r="28" spans="1:18" x14ac:dyDescent="0.25">
      <c r="C28" s="53" t="s">
        <v>102</v>
      </c>
      <c r="D28" s="46">
        <v>0.25</v>
      </c>
      <c r="E28" s="47">
        <f t="shared" si="10"/>
        <v>4821.4285714285716</v>
      </c>
      <c r="F28" s="47">
        <f t="shared" si="11"/>
        <v>12053.571428571429</v>
      </c>
      <c r="G28" s="48" t="str">
        <f t="shared" si="12"/>
        <v>7</v>
      </c>
      <c r="H28" s="48" t="str">
        <f t="shared" si="13"/>
        <v>8</v>
      </c>
      <c r="I28" s="46">
        <f t="shared" si="14"/>
        <v>0.89800000000000002</v>
      </c>
      <c r="N28" s="39">
        <f t="shared" si="15"/>
        <v>12054</v>
      </c>
      <c r="O28" s="124" t="str">
        <f t="shared" si="16"/>
        <v>8</v>
      </c>
      <c r="P28" s="125"/>
      <c r="R28" s="125"/>
    </row>
    <row r="30" spans="1:18" x14ac:dyDescent="0.25">
      <c r="C30" t="s">
        <v>295</v>
      </c>
    </row>
    <row r="31" spans="1:18" x14ac:dyDescent="0.25">
      <c r="C31" t="s">
        <v>296</v>
      </c>
    </row>
    <row r="32" spans="1:18" x14ac:dyDescent="0.25">
      <c r="C32" t="s">
        <v>318</v>
      </c>
    </row>
    <row r="33" spans="3:16" x14ac:dyDescent="0.25">
      <c r="C33" t="s">
        <v>128</v>
      </c>
    </row>
    <row r="35" spans="3:16" x14ac:dyDescent="0.25">
      <c r="C35" s="56" t="s">
        <v>297</v>
      </c>
      <c r="D35" s="55" t="s">
        <v>60</v>
      </c>
      <c r="E35" s="55" t="s">
        <v>61</v>
      </c>
      <c r="F35" s="66" t="s">
        <v>112</v>
      </c>
      <c r="G35" s="96" t="s">
        <v>130</v>
      </c>
      <c r="O35" s="39" t="s">
        <v>98</v>
      </c>
      <c r="P35" s="39">
        <v>0.4536</v>
      </c>
    </row>
    <row r="36" spans="3:16" x14ac:dyDescent="0.25">
      <c r="C36" s="54" t="s">
        <v>55</v>
      </c>
      <c r="D36" s="82" t="s">
        <v>24</v>
      </c>
      <c r="E36" s="82" t="s">
        <v>34</v>
      </c>
      <c r="F36" s="57" t="s">
        <v>34</v>
      </c>
      <c r="G36" s="112" t="s">
        <v>24</v>
      </c>
    </row>
    <row r="37" spans="3:16" x14ac:dyDescent="0.25">
      <c r="C37" s="53" t="s">
        <v>2</v>
      </c>
      <c r="D37" s="58" t="s">
        <v>56</v>
      </c>
      <c r="E37" s="82" t="s">
        <v>49</v>
      </c>
      <c r="F37" s="57" t="s">
        <v>35</v>
      </c>
      <c r="G37" s="146" t="s">
        <v>301</v>
      </c>
    </row>
    <row r="38" spans="3:16" x14ac:dyDescent="0.25">
      <c r="C38" s="53" t="s">
        <v>53</v>
      </c>
      <c r="D38" s="82" t="s">
        <v>24</v>
      </c>
      <c r="E38" s="82" t="s">
        <v>34</v>
      </c>
      <c r="F38" s="57" t="s">
        <v>34</v>
      </c>
      <c r="G38" s="117" t="s">
        <v>24</v>
      </c>
    </row>
    <row r="39" spans="3:16" x14ac:dyDescent="0.25">
      <c r="C39" s="53" t="s">
        <v>54</v>
      </c>
      <c r="D39" s="82" t="s">
        <v>24</v>
      </c>
      <c r="E39" s="82" t="s">
        <v>34</v>
      </c>
      <c r="F39" s="57" t="s">
        <v>35</v>
      </c>
      <c r="G39" s="117" t="s">
        <v>26</v>
      </c>
    </row>
    <row r="40" spans="3:16" x14ac:dyDescent="0.25">
      <c r="C40" s="53" t="s">
        <v>38</v>
      </c>
      <c r="D40" s="82" t="s">
        <v>26</v>
      </c>
      <c r="E40" s="82" t="s">
        <v>35</v>
      </c>
      <c r="F40" s="57" t="s">
        <v>35</v>
      </c>
      <c r="G40" s="117" t="s">
        <v>26</v>
      </c>
    </row>
    <row r="41" spans="3:16" x14ac:dyDescent="0.25">
      <c r="C41" s="53" t="s">
        <v>39</v>
      </c>
      <c r="D41" s="82" t="s">
        <v>57</v>
      </c>
      <c r="E41" s="82" t="s">
        <v>57</v>
      </c>
      <c r="F41" s="57" t="s">
        <v>35</v>
      </c>
      <c r="G41" s="111" t="s">
        <v>57</v>
      </c>
      <c r="H41" s="142">
        <v>610</v>
      </c>
    </row>
    <row r="42" spans="3:16" x14ac:dyDescent="0.25">
      <c r="C42" s="53" t="s">
        <v>102</v>
      </c>
      <c r="D42" s="82" t="s">
        <v>24</v>
      </c>
      <c r="E42" s="82" t="s">
        <v>34</v>
      </c>
      <c r="F42" s="57" t="s">
        <v>34</v>
      </c>
      <c r="G42" s="112" t="s">
        <v>24</v>
      </c>
    </row>
    <row r="44" spans="3:16" x14ac:dyDescent="0.25">
      <c r="C44" t="s">
        <v>300</v>
      </c>
    </row>
    <row r="46" spans="3:16" x14ac:dyDescent="0.25">
      <c r="E46" s="83" t="s">
        <v>64</v>
      </c>
      <c r="F46" s="83" t="s">
        <v>107</v>
      </c>
    </row>
    <row r="47" spans="3:16" x14ac:dyDescent="0.25">
      <c r="C47" t="s">
        <v>133</v>
      </c>
      <c r="E47">
        <v>9800</v>
      </c>
      <c r="F47" s="78">
        <f>E47/lbs_to_kg</f>
        <v>21604.938271604937</v>
      </c>
    </row>
    <row r="48" spans="3:16" x14ac:dyDescent="0.25">
      <c r="C48" t="s">
        <v>59</v>
      </c>
      <c r="E48">
        <v>10700</v>
      </c>
      <c r="F48" s="78">
        <f>E48/lbs_to_kg</f>
        <v>23589.065255731923</v>
      </c>
    </row>
    <row r="49" spans="3:20" x14ac:dyDescent="0.25">
      <c r="C49" t="s">
        <v>96</v>
      </c>
      <c r="E49">
        <v>8415</v>
      </c>
      <c r="F49" s="78">
        <f>E49/lbs_to_kg</f>
        <v>18551.5873015873</v>
      </c>
    </row>
    <row r="50" spans="3:20" x14ac:dyDescent="0.25">
      <c r="C50" t="s">
        <v>97</v>
      </c>
      <c r="E50">
        <v>5745</v>
      </c>
      <c r="F50" s="78">
        <f>E50/lbs_to_kg</f>
        <v>12665.343915343916</v>
      </c>
    </row>
    <row r="51" spans="3:20" x14ac:dyDescent="0.25">
      <c r="C51" t="s">
        <v>113</v>
      </c>
    </row>
    <row r="53" spans="3:20" x14ac:dyDescent="0.25">
      <c r="C53" s="159" t="s">
        <v>298</v>
      </c>
      <c r="D53" s="159"/>
      <c r="E53" s="159"/>
    </row>
    <row r="54" spans="3:20" x14ac:dyDescent="0.25">
      <c r="C54" s="81" t="s">
        <v>299</v>
      </c>
    </row>
    <row r="55" spans="3:20" ht="15.75" thickBot="1" x14ac:dyDescent="0.3"/>
    <row r="56" spans="3:20" ht="15" customHeight="1" x14ac:dyDescent="0.25">
      <c r="C56" s="126" t="s">
        <v>135</v>
      </c>
      <c r="D56" s="127"/>
      <c r="E56" s="127"/>
      <c r="F56" s="127"/>
      <c r="G56" s="128"/>
      <c r="I56" s="169" t="s">
        <v>172</v>
      </c>
      <c r="J56" s="170"/>
      <c r="K56" s="170"/>
      <c r="L56" s="170"/>
      <c r="M56" s="170"/>
      <c r="N56" s="170"/>
      <c r="O56" s="170"/>
      <c r="P56" s="170"/>
      <c r="Q56" s="170"/>
      <c r="R56" s="170"/>
      <c r="S56" s="170"/>
      <c r="T56" s="171"/>
    </row>
    <row r="57" spans="3:20" ht="15" customHeight="1" x14ac:dyDescent="0.25">
      <c r="C57" s="129" t="s">
        <v>136</v>
      </c>
      <c r="D57" s="130"/>
      <c r="E57" s="130"/>
      <c r="F57" s="130"/>
      <c r="G57" s="131"/>
      <c r="I57" s="172" t="s">
        <v>173</v>
      </c>
      <c r="J57" s="173"/>
      <c r="K57" s="173"/>
      <c r="L57" s="173"/>
      <c r="M57" s="173"/>
      <c r="N57" s="173"/>
      <c r="O57" s="173"/>
      <c r="P57" s="173"/>
      <c r="Q57" s="173"/>
      <c r="R57" s="173"/>
      <c r="S57" s="173"/>
      <c r="T57" s="174"/>
    </row>
    <row r="58" spans="3:20" ht="15" customHeight="1" x14ac:dyDescent="0.25">
      <c r="C58" s="129"/>
      <c r="D58" s="130"/>
      <c r="E58" s="130"/>
      <c r="F58" s="130"/>
      <c r="G58" s="131"/>
      <c r="I58" s="172" t="s">
        <v>174</v>
      </c>
      <c r="J58" s="173"/>
      <c r="K58" s="173"/>
      <c r="L58" s="173"/>
      <c r="M58" s="173"/>
      <c r="N58" s="173"/>
      <c r="O58" s="173"/>
      <c r="P58" s="173"/>
      <c r="Q58" s="173"/>
      <c r="R58" s="173"/>
      <c r="S58" s="173"/>
      <c r="T58" s="174"/>
    </row>
    <row r="59" spans="3:20" x14ac:dyDescent="0.25">
      <c r="C59" s="129" t="s">
        <v>137</v>
      </c>
      <c r="D59" s="130"/>
      <c r="E59" s="130"/>
      <c r="F59" s="130"/>
      <c r="G59" s="131"/>
      <c r="I59" s="172" t="s">
        <v>175</v>
      </c>
      <c r="J59" s="173"/>
      <c r="K59" s="173"/>
      <c r="L59" s="173"/>
      <c r="M59" s="173"/>
      <c r="N59" s="173"/>
      <c r="O59" s="173"/>
      <c r="P59" s="173"/>
      <c r="Q59" s="173"/>
      <c r="R59" s="173"/>
      <c r="S59" s="173"/>
      <c r="T59" s="174"/>
    </row>
    <row r="60" spans="3:20" x14ac:dyDescent="0.25">
      <c r="C60" s="129"/>
      <c r="D60" s="130"/>
      <c r="E60" s="130"/>
      <c r="F60" s="130"/>
      <c r="G60" s="131"/>
      <c r="I60" s="172" t="s">
        <v>176</v>
      </c>
      <c r="J60" s="173"/>
      <c r="K60" s="173"/>
      <c r="L60" s="173"/>
      <c r="M60" s="173"/>
      <c r="N60" s="173"/>
      <c r="O60" s="173"/>
      <c r="P60" s="173"/>
      <c r="Q60" s="173"/>
      <c r="R60" s="173"/>
      <c r="S60" s="173"/>
      <c r="T60" s="174"/>
    </row>
    <row r="61" spans="3:20" ht="15" customHeight="1" x14ac:dyDescent="0.25">
      <c r="C61" s="129" t="s">
        <v>138</v>
      </c>
      <c r="D61" s="130"/>
      <c r="E61" s="130"/>
      <c r="F61" s="130"/>
      <c r="G61" s="131"/>
      <c r="I61" s="172" t="s">
        <v>177</v>
      </c>
      <c r="J61" s="173"/>
      <c r="K61" s="173"/>
      <c r="L61" s="173"/>
      <c r="M61" s="173"/>
      <c r="N61" s="173"/>
      <c r="O61" s="173"/>
      <c r="P61" s="173"/>
      <c r="Q61" s="173"/>
      <c r="R61" s="173"/>
      <c r="S61" s="173"/>
      <c r="T61" s="174"/>
    </row>
    <row r="62" spans="3:20" ht="15" customHeight="1" x14ac:dyDescent="0.25">
      <c r="C62" s="129" t="s">
        <v>139</v>
      </c>
      <c r="D62" s="130"/>
      <c r="E62" s="130"/>
      <c r="F62" s="130"/>
      <c r="G62" s="131"/>
      <c r="I62" s="172" t="s">
        <v>178</v>
      </c>
      <c r="J62" s="173"/>
      <c r="K62" s="173"/>
      <c r="L62" s="173"/>
      <c r="M62" s="173"/>
      <c r="N62" s="173"/>
      <c r="O62" s="173"/>
      <c r="P62" s="173"/>
      <c r="Q62" s="173"/>
      <c r="R62" s="173"/>
      <c r="S62" s="173"/>
      <c r="T62" s="174"/>
    </row>
    <row r="63" spans="3:20" ht="15" customHeight="1" x14ac:dyDescent="0.25">
      <c r="C63" s="129" t="s">
        <v>140</v>
      </c>
      <c r="D63" s="130"/>
      <c r="E63" s="130"/>
      <c r="F63" s="130"/>
      <c r="G63" s="131"/>
      <c r="I63" s="172" t="s">
        <v>179</v>
      </c>
      <c r="J63" s="173"/>
      <c r="K63" s="173"/>
      <c r="L63" s="173"/>
      <c r="M63" s="173"/>
      <c r="N63" s="173"/>
      <c r="O63" s="173"/>
      <c r="P63" s="173"/>
      <c r="Q63" s="173"/>
      <c r="R63" s="173"/>
      <c r="S63" s="173"/>
      <c r="T63" s="174"/>
    </row>
    <row r="64" spans="3:20" ht="15" customHeight="1" x14ac:dyDescent="0.25">
      <c r="C64" s="129" t="s">
        <v>141</v>
      </c>
      <c r="D64" s="130"/>
      <c r="E64" s="130"/>
      <c r="F64" s="130"/>
      <c r="G64" s="131"/>
      <c r="I64" s="172"/>
      <c r="J64" s="173"/>
      <c r="K64" s="173"/>
      <c r="L64" s="173"/>
      <c r="M64" s="173"/>
      <c r="N64" s="173"/>
      <c r="O64" s="173"/>
      <c r="P64" s="173"/>
      <c r="Q64" s="173"/>
      <c r="R64" s="173"/>
      <c r="S64" s="173"/>
      <c r="T64" s="174"/>
    </row>
    <row r="65" spans="3:20" ht="15" customHeight="1" x14ac:dyDescent="0.25">
      <c r="C65" s="129" t="s">
        <v>142</v>
      </c>
      <c r="D65" s="130"/>
      <c r="E65" s="130"/>
      <c r="F65" s="130"/>
      <c r="G65" s="131"/>
      <c r="I65" s="172" t="s">
        <v>180</v>
      </c>
      <c r="J65" s="173"/>
      <c r="K65" s="173"/>
      <c r="L65" s="173"/>
      <c r="M65" s="173"/>
      <c r="N65" s="173"/>
      <c r="O65" s="173"/>
      <c r="P65" s="173"/>
      <c r="Q65" s="173"/>
      <c r="R65" s="173"/>
      <c r="S65" s="173"/>
      <c r="T65" s="174"/>
    </row>
    <row r="66" spans="3:20" x14ac:dyDescent="0.25">
      <c r="C66" s="129" t="s">
        <v>143</v>
      </c>
      <c r="D66" s="130"/>
      <c r="E66" s="130"/>
      <c r="F66" s="130"/>
      <c r="G66" s="131"/>
      <c r="I66" s="172" t="s">
        <v>181</v>
      </c>
      <c r="J66" s="173"/>
      <c r="K66" s="173"/>
      <c r="L66" s="173"/>
      <c r="M66" s="173"/>
      <c r="N66" s="173"/>
      <c r="O66" s="173"/>
      <c r="P66" s="173"/>
      <c r="Q66" s="173"/>
      <c r="R66" s="173"/>
      <c r="S66" s="173"/>
      <c r="T66" s="174"/>
    </row>
    <row r="67" spans="3:20" x14ac:dyDescent="0.25">
      <c r="C67" s="129" t="s">
        <v>144</v>
      </c>
      <c r="D67" s="130"/>
      <c r="E67" s="130"/>
      <c r="F67" s="130"/>
      <c r="G67" s="131"/>
      <c r="I67" s="172" t="s">
        <v>182</v>
      </c>
      <c r="J67" s="173"/>
      <c r="K67" s="173"/>
      <c r="L67" s="173"/>
      <c r="M67" s="173"/>
      <c r="N67" s="173"/>
      <c r="O67" s="173"/>
      <c r="P67" s="173"/>
      <c r="Q67" s="173"/>
      <c r="R67" s="173"/>
      <c r="S67" s="173"/>
      <c r="T67" s="174"/>
    </row>
    <row r="68" spans="3:20" x14ac:dyDescent="0.25">
      <c r="C68" s="129" t="s">
        <v>145</v>
      </c>
      <c r="D68" s="130"/>
      <c r="E68" s="130"/>
      <c r="F68" s="130"/>
      <c r="G68" s="131"/>
      <c r="I68" s="172" t="s">
        <v>183</v>
      </c>
      <c r="J68" s="173"/>
      <c r="K68" s="173"/>
      <c r="L68" s="173"/>
      <c r="M68" s="173"/>
      <c r="N68" s="173"/>
      <c r="O68" s="173"/>
      <c r="P68" s="173"/>
      <c r="Q68" s="173"/>
      <c r="R68" s="173"/>
      <c r="S68" s="173"/>
      <c r="T68" s="174"/>
    </row>
    <row r="69" spans="3:20" x14ac:dyDescent="0.25">
      <c r="C69" s="129" t="s">
        <v>146</v>
      </c>
      <c r="D69" s="130"/>
      <c r="E69" s="130"/>
      <c r="F69" s="130"/>
      <c r="G69" s="131"/>
      <c r="I69" s="172"/>
      <c r="J69" s="173"/>
      <c r="K69" s="173"/>
      <c r="L69" s="173"/>
      <c r="M69" s="173"/>
      <c r="N69" s="173"/>
      <c r="O69" s="173"/>
      <c r="P69" s="173"/>
      <c r="Q69" s="173"/>
      <c r="R69" s="173"/>
      <c r="S69" s="173"/>
      <c r="T69" s="174"/>
    </row>
    <row r="70" spans="3:20" x14ac:dyDescent="0.25">
      <c r="C70" s="129" t="s">
        <v>311</v>
      </c>
      <c r="D70" s="130"/>
      <c r="E70" s="130"/>
      <c r="F70" s="130"/>
      <c r="G70" s="131"/>
      <c r="I70" s="172" t="s">
        <v>184</v>
      </c>
      <c r="J70" s="173"/>
      <c r="K70" s="173"/>
      <c r="L70" s="173"/>
      <c r="M70" s="173"/>
      <c r="N70" s="173"/>
      <c r="O70" s="173"/>
      <c r="P70" s="173"/>
      <c r="Q70" s="173"/>
      <c r="R70" s="173"/>
      <c r="S70" s="173"/>
      <c r="T70" s="174"/>
    </row>
    <row r="71" spans="3:20" x14ac:dyDescent="0.25">
      <c r="C71" s="129" t="s">
        <v>147</v>
      </c>
      <c r="D71" s="130"/>
      <c r="E71" s="130"/>
      <c r="F71" s="130"/>
      <c r="G71" s="131"/>
      <c r="I71" s="172" t="s">
        <v>185</v>
      </c>
      <c r="J71" s="173"/>
      <c r="K71" s="173"/>
      <c r="L71" s="173"/>
      <c r="M71" s="173"/>
      <c r="N71" s="173"/>
      <c r="O71" s="173"/>
      <c r="P71" s="173"/>
      <c r="Q71" s="173"/>
      <c r="R71" s="173"/>
      <c r="S71" s="173"/>
      <c r="T71" s="174"/>
    </row>
    <row r="72" spans="3:20" x14ac:dyDescent="0.25">
      <c r="C72" s="129" t="s">
        <v>148</v>
      </c>
      <c r="D72" s="130"/>
      <c r="E72" s="130"/>
      <c r="F72" s="130"/>
      <c r="G72" s="131"/>
      <c r="I72" s="172" t="s">
        <v>186</v>
      </c>
      <c r="J72" s="173"/>
      <c r="K72" s="173"/>
      <c r="L72" s="173"/>
      <c r="M72" s="173"/>
      <c r="N72" s="173"/>
      <c r="O72" s="173"/>
      <c r="P72" s="173"/>
      <c r="Q72" s="173"/>
      <c r="R72" s="173"/>
      <c r="S72" s="173"/>
      <c r="T72" s="174"/>
    </row>
    <row r="73" spans="3:20" x14ac:dyDescent="0.25">
      <c r="C73" s="129" t="s">
        <v>149</v>
      </c>
      <c r="D73" s="130"/>
      <c r="E73" s="130"/>
      <c r="F73" s="130"/>
      <c r="G73" s="131"/>
      <c r="I73" s="172" t="s">
        <v>187</v>
      </c>
      <c r="J73" s="173"/>
      <c r="K73" s="173"/>
      <c r="L73" s="173"/>
      <c r="M73" s="173"/>
      <c r="N73" s="173"/>
      <c r="O73" s="173"/>
      <c r="P73" s="173"/>
      <c r="Q73" s="173"/>
      <c r="R73" s="173"/>
      <c r="S73" s="173"/>
      <c r="T73" s="174"/>
    </row>
    <row r="74" spans="3:20" x14ac:dyDescent="0.25">
      <c r="C74" s="129" t="s">
        <v>150</v>
      </c>
      <c r="D74" s="130"/>
      <c r="E74" s="130"/>
      <c r="F74" s="130"/>
      <c r="G74" s="131"/>
      <c r="I74" s="172"/>
      <c r="J74" s="173"/>
      <c r="K74" s="173"/>
      <c r="L74" s="173"/>
      <c r="M74" s="173"/>
      <c r="N74" s="173"/>
      <c r="O74" s="173"/>
      <c r="P74" s="173"/>
      <c r="Q74" s="173"/>
      <c r="R74" s="173"/>
      <c r="S74" s="173"/>
      <c r="T74" s="174"/>
    </row>
    <row r="75" spans="3:20" x14ac:dyDescent="0.25">
      <c r="C75" s="129"/>
      <c r="D75" s="130"/>
      <c r="E75" s="130"/>
      <c r="F75" s="130"/>
      <c r="G75" s="131"/>
      <c r="I75" s="172" t="s">
        <v>188</v>
      </c>
      <c r="J75" s="173"/>
      <c r="K75" s="173"/>
      <c r="L75" s="173"/>
      <c r="M75" s="173"/>
      <c r="N75" s="173"/>
      <c r="O75" s="173"/>
      <c r="P75" s="173"/>
      <c r="Q75" s="173"/>
      <c r="R75" s="173"/>
      <c r="S75" s="173"/>
      <c r="T75" s="174"/>
    </row>
    <row r="76" spans="3:20" x14ac:dyDescent="0.25">
      <c r="C76" s="129" t="s">
        <v>151</v>
      </c>
      <c r="D76" s="130"/>
      <c r="E76" s="130"/>
      <c r="F76" s="130"/>
      <c r="G76" s="131"/>
      <c r="I76" s="172" t="s">
        <v>189</v>
      </c>
      <c r="J76" s="173"/>
      <c r="K76" s="173"/>
      <c r="L76" s="173"/>
      <c r="M76" s="173"/>
      <c r="N76" s="173"/>
      <c r="O76" s="173"/>
      <c r="P76" s="173"/>
      <c r="Q76" s="173"/>
      <c r="R76" s="173"/>
      <c r="S76" s="173"/>
      <c r="T76" s="174"/>
    </row>
    <row r="77" spans="3:20" x14ac:dyDescent="0.25">
      <c r="C77" s="129" t="s">
        <v>312</v>
      </c>
      <c r="D77" s="130"/>
      <c r="E77" s="130"/>
      <c r="F77" s="130"/>
      <c r="G77" s="131"/>
      <c r="I77" s="172" t="s">
        <v>190</v>
      </c>
      <c r="J77" s="173"/>
      <c r="K77" s="173"/>
      <c r="L77" s="173"/>
      <c r="M77" s="173"/>
      <c r="N77" s="173"/>
      <c r="O77" s="173"/>
      <c r="P77" s="173"/>
      <c r="Q77" s="173"/>
      <c r="R77" s="173"/>
      <c r="S77" s="173"/>
      <c r="T77" s="174"/>
    </row>
    <row r="78" spans="3:20" x14ac:dyDescent="0.25">
      <c r="C78" s="129" t="s">
        <v>152</v>
      </c>
      <c r="D78" s="130"/>
      <c r="E78" s="130"/>
      <c r="F78" s="130"/>
      <c r="G78" s="131"/>
      <c r="I78" s="172" t="s">
        <v>191</v>
      </c>
      <c r="J78" s="173"/>
      <c r="K78" s="173"/>
      <c r="L78" s="173"/>
      <c r="M78" s="173"/>
      <c r="N78" s="173"/>
      <c r="O78" s="173"/>
      <c r="P78" s="173"/>
      <c r="Q78" s="173"/>
      <c r="R78" s="173"/>
      <c r="S78" s="173"/>
      <c r="T78" s="174"/>
    </row>
    <row r="79" spans="3:20" x14ac:dyDescent="0.25">
      <c r="C79" s="129" t="s">
        <v>153</v>
      </c>
      <c r="D79" s="130"/>
      <c r="E79" s="130"/>
      <c r="F79" s="130"/>
      <c r="G79" s="131"/>
      <c r="I79" s="172" t="s">
        <v>192</v>
      </c>
      <c r="J79" s="173"/>
      <c r="K79" s="173"/>
      <c r="L79" s="173"/>
      <c r="M79" s="173"/>
      <c r="N79" s="173"/>
      <c r="O79" s="173"/>
      <c r="P79" s="173"/>
      <c r="Q79" s="173"/>
      <c r="R79" s="173"/>
      <c r="S79" s="173"/>
      <c r="T79" s="174"/>
    </row>
    <row r="80" spans="3:20" x14ac:dyDescent="0.25">
      <c r="C80" s="129" t="s">
        <v>154</v>
      </c>
      <c r="D80" s="130"/>
      <c r="E80" s="130"/>
      <c r="F80" s="130"/>
      <c r="G80" s="131"/>
      <c r="I80" s="172"/>
      <c r="J80" s="173"/>
      <c r="K80" s="173"/>
      <c r="L80" s="173"/>
      <c r="M80" s="173"/>
      <c r="N80" s="173"/>
      <c r="O80" s="173"/>
      <c r="P80" s="173"/>
      <c r="Q80" s="173"/>
      <c r="R80" s="173"/>
      <c r="S80" s="173"/>
      <c r="T80" s="174"/>
    </row>
    <row r="81" spans="3:20" x14ac:dyDescent="0.25">
      <c r="C81" s="129" t="s">
        <v>155</v>
      </c>
      <c r="D81" s="130"/>
      <c r="E81" s="130"/>
      <c r="F81" s="130"/>
      <c r="G81" s="131"/>
      <c r="I81" s="172" t="s">
        <v>193</v>
      </c>
      <c r="J81" s="173"/>
      <c r="K81" s="173"/>
      <c r="L81" s="173"/>
      <c r="M81" s="173"/>
      <c r="N81" s="173"/>
      <c r="O81" s="173"/>
      <c r="P81" s="173"/>
      <c r="Q81" s="173"/>
      <c r="R81" s="173"/>
      <c r="S81" s="173"/>
      <c r="T81" s="174"/>
    </row>
    <row r="82" spans="3:20" x14ac:dyDescent="0.25">
      <c r="C82" s="129" t="s">
        <v>314</v>
      </c>
      <c r="D82" s="130"/>
      <c r="E82" s="130"/>
      <c r="F82" s="130"/>
      <c r="G82" s="131"/>
      <c r="I82" s="172" t="s">
        <v>194</v>
      </c>
      <c r="J82" s="173"/>
      <c r="K82" s="173"/>
      <c r="L82" s="173"/>
      <c r="M82" s="173"/>
      <c r="N82" s="173"/>
      <c r="O82" s="173"/>
      <c r="P82" s="173"/>
      <c r="Q82" s="173"/>
      <c r="R82" s="173"/>
      <c r="S82" s="173"/>
      <c r="T82" s="174"/>
    </row>
    <row r="83" spans="3:20" x14ac:dyDescent="0.25">
      <c r="C83" s="129" t="s">
        <v>156</v>
      </c>
      <c r="D83" s="130"/>
      <c r="E83" s="130"/>
      <c r="F83" s="130"/>
      <c r="G83" s="131"/>
      <c r="I83" s="172" t="s">
        <v>195</v>
      </c>
      <c r="J83" s="173"/>
      <c r="K83" s="173"/>
      <c r="L83" s="173"/>
      <c r="M83" s="173"/>
      <c r="N83" s="173"/>
      <c r="O83" s="173"/>
      <c r="P83" s="173"/>
      <c r="Q83" s="173"/>
      <c r="R83" s="173"/>
      <c r="S83" s="173"/>
      <c r="T83" s="174"/>
    </row>
    <row r="84" spans="3:20" x14ac:dyDescent="0.25">
      <c r="C84" s="129" t="s">
        <v>157</v>
      </c>
      <c r="D84" s="130"/>
      <c r="E84" s="130"/>
      <c r="F84" s="130"/>
      <c r="G84" s="131"/>
      <c r="I84" s="172"/>
      <c r="J84" s="173"/>
      <c r="K84" s="173"/>
      <c r="L84" s="173"/>
      <c r="M84" s="173"/>
      <c r="N84" s="173"/>
      <c r="O84" s="173"/>
      <c r="P84" s="173"/>
      <c r="Q84" s="173"/>
      <c r="R84" s="173"/>
      <c r="S84" s="173"/>
      <c r="T84" s="174"/>
    </row>
    <row r="85" spans="3:20" ht="15.75" thickBot="1" x14ac:dyDescent="0.3">
      <c r="C85" s="129" t="s">
        <v>158</v>
      </c>
      <c r="D85" s="130"/>
      <c r="E85" s="130"/>
      <c r="F85" s="130"/>
      <c r="G85" s="131"/>
      <c r="I85" s="175" t="s">
        <v>196</v>
      </c>
      <c r="J85" s="176"/>
      <c r="K85" s="176"/>
      <c r="L85" s="176"/>
      <c r="M85" s="176"/>
      <c r="N85" s="176"/>
      <c r="O85" s="176"/>
      <c r="P85" s="176"/>
      <c r="Q85" s="176"/>
      <c r="R85" s="176"/>
      <c r="S85" s="176"/>
      <c r="T85" s="177"/>
    </row>
    <row r="86" spans="3:20" x14ac:dyDescent="0.25">
      <c r="C86" s="129" t="s">
        <v>313</v>
      </c>
      <c r="D86" s="130"/>
      <c r="E86" s="130"/>
      <c r="F86" s="130"/>
      <c r="G86" s="131"/>
    </row>
    <row r="87" spans="3:20" x14ac:dyDescent="0.25">
      <c r="C87" s="129"/>
      <c r="D87" s="130"/>
      <c r="E87" s="130"/>
      <c r="F87" s="130"/>
      <c r="G87" s="131"/>
    </row>
    <row r="88" spans="3:20" ht="15.75" thickBot="1" x14ac:dyDescent="0.3">
      <c r="C88" s="129" t="s">
        <v>159</v>
      </c>
      <c r="D88" s="130"/>
      <c r="E88" s="130"/>
      <c r="F88" s="130"/>
      <c r="G88" s="131"/>
    </row>
    <row r="89" spans="3:20" ht="15" customHeight="1" x14ac:dyDescent="0.25">
      <c r="C89" s="129" t="s">
        <v>160</v>
      </c>
      <c r="D89" s="130"/>
      <c r="E89" s="130"/>
      <c r="F89" s="130"/>
      <c r="G89" s="131"/>
      <c r="I89" s="166" t="s">
        <v>282</v>
      </c>
      <c r="J89" s="167"/>
      <c r="K89" s="167"/>
      <c r="L89" s="167"/>
      <c r="M89" s="167"/>
      <c r="N89" s="167"/>
      <c r="O89" s="167"/>
      <c r="P89" s="167"/>
      <c r="Q89" s="167"/>
      <c r="R89" s="167"/>
      <c r="S89" s="167"/>
      <c r="T89" s="168"/>
    </row>
    <row r="90" spans="3:20" ht="15" customHeight="1" x14ac:dyDescent="0.25">
      <c r="C90" s="129" t="s">
        <v>161</v>
      </c>
      <c r="D90" s="130"/>
      <c r="E90" s="130"/>
      <c r="F90" s="130"/>
      <c r="G90" s="131"/>
      <c r="I90" s="160" t="s">
        <v>279</v>
      </c>
      <c r="J90" s="161"/>
      <c r="K90" s="161"/>
      <c r="L90" s="161"/>
      <c r="M90" s="161"/>
      <c r="N90" s="161"/>
      <c r="O90" s="161"/>
      <c r="P90" s="161"/>
      <c r="Q90" s="161"/>
      <c r="R90" s="161"/>
      <c r="S90" s="161"/>
      <c r="T90" s="162"/>
    </row>
    <row r="91" spans="3:20" ht="15" customHeight="1" x14ac:dyDescent="0.25">
      <c r="C91" s="129" t="s">
        <v>162</v>
      </c>
      <c r="D91" s="130"/>
      <c r="E91" s="130"/>
      <c r="F91" s="130"/>
      <c r="G91" s="131"/>
      <c r="I91" s="160" t="s">
        <v>283</v>
      </c>
      <c r="J91" s="161"/>
      <c r="K91" s="161"/>
      <c r="L91" s="161"/>
      <c r="M91" s="161"/>
      <c r="N91" s="161"/>
      <c r="O91" s="161"/>
      <c r="P91" s="161"/>
      <c r="Q91" s="161"/>
      <c r="R91" s="161"/>
      <c r="S91" s="161"/>
      <c r="T91" s="162"/>
    </row>
    <row r="92" spans="3:20" ht="15" customHeight="1" x14ac:dyDescent="0.25">
      <c r="C92" s="129" t="s">
        <v>163</v>
      </c>
      <c r="D92" s="130"/>
      <c r="E92" s="130"/>
      <c r="F92" s="130"/>
      <c r="G92" s="131"/>
      <c r="I92" s="163" t="s">
        <v>284</v>
      </c>
      <c r="J92" s="164"/>
      <c r="K92" s="164"/>
      <c r="L92" s="164"/>
      <c r="M92" s="164"/>
      <c r="N92" s="164"/>
      <c r="O92" s="164"/>
      <c r="P92" s="164"/>
      <c r="Q92" s="164"/>
      <c r="R92" s="164"/>
      <c r="S92" s="164"/>
      <c r="T92" s="165"/>
    </row>
    <row r="93" spans="3:20" ht="15" customHeight="1" x14ac:dyDescent="0.25">
      <c r="C93" s="129" t="s">
        <v>164</v>
      </c>
      <c r="D93" s="130"/>
      <c r="E93" s="130"/>
      <c r="F93" s="130"/>
      <c r="G93" s="131"/>
      <c r="I93" s="163"/>
      <c r="J93" s="164"/>
      <c r="K93" s="164"/>
      <c r="L93" s="164"/>
      <c r="M93" s="164"/>
      <c r="N93" s="164"/>
      <c r="O93" s="164"/>
      <c r="P93" s="164"/>
      <c r="Q93" s="164"/>
      <c r="R93" s="164"/>
      <c r="S93" s="164"/>
      <c r="T93" s="165"/>
    </row>
    <row r="94" spans="3:20" ht="15" customHeight="1" x14ac:dyDescent="0.25">
      <c r="C94" s="129" t="s">
        <v>165</v>
      </c>
      <c r="D94" s="130"/>
      <c r="E94" s="130"/>
      <c r="F94" s="130"/>
      <c r="G94" s="131"/>
      <c r="I94" s="160" t="s">
        <v>280</v>
      </c>
      <c r="J94" s="161"/>
      <c r="K94" s="161"/>
      <c r="L94" s="161"/>
      <c r="M94" s="161"/>
      <c r="N94" s="161"/>
      <c r="O94" s="161"/>
      <c r="P94" s="161"/>
      <c r="Q94" s="161"/>
      <c r="R94" s="161"/>
      <c r="S94" s="161"/>
      <c r="T94" s="162"/>
    </row>
    <row r="95" spans="3:20" ht="15" customHeight="1" x14ac:dyDescent="0.25">
      <c r="C95" s="129" t="s">
        <v>166</v>
      </c>
      <c r="D95" s="130"/>
      <c r="E95" s="130"/>
      <c r="F95" s="130"/>
      <c r="G95" s="131"/>
      <c r="I95" s="160" t="s">
        <v>285</v>
      </c>
      <c r="J95" s="161"/>
      <c r="K95" s="161"/>
      <c r="L95" s="161"/>
      <c r="M95" s="161"/>
      <c r="N95" s="161"/>
      <c r="O95" s="161"/>
      <c r="P95" s="161"/>
      <c r="Q95" s="161"/>
      <c r="R95" s="161"/>
      <c r="S95" s="161"/>
      <c r="T95" s="162"/>
    </row>
    <row r="96" spans="3:20" ht="15" customHeight="1" x14ac:dyDescent="0.25">
      <c r="C96" s="129" t="s">
        <v>167</v>
      </c>
      <c r="D96" s="130"/>
      <c r="E96" s="130"/>
      <c r="F96" s="130"/>
      <c r="G96" s="131"/>
      <c r="I96" s="160" t="s">
        <v>286</v>
      </c>
      <c r="J96" s="161"/>
      <c r="K96" s="161"/>
      <c r="L96" s="161"/>
      <c r="M96" s="161"/>
      <c r="N96" s="161"/>
      <c r="O96" s="161"/>
      <c r="P96" s="161"/>
      <c r="Q96" s="161"/>
      <c r="R96" s="161"/>
      <c r="S96" s="161"/>
      <c r="T96" s="162"/>
    </row>
    <row r="97" spans="2:20" ht="15" customHeight="1" x14ac:dyDescent="0.25">
      <c r="C97" s="129" t="s">
        <v>168</v>
      </c>
      <c r="D97" s="130"/>
      <c r="E97" s="130"/>
      <c r="F97" s="130"/>
      <c r="G97" s="131"/>
      <c r="I97" s="160" t="s">
        <v>287</v>
      </c>
      <c r="J97" s="161"/>
      <c r="K97" s="161"/>
      <c r="L97" s="161"/>
      <c r="M97" s="161"/>
      <c r="N97" s="161"/>
      <c r="O97" s="161"/>
      <c r="P97" s="161"/>
      <c r="Q97" s="161"/>
      <c r="R97" s="161"/>
      <c r="S97" s="161"/>
      <c r="T97" s="162"/>
    </row>
    <row r="98" spans="2:20" ht="15" customHeight="1" x14ac:dyDescent="0.25">
      <c r="C98" s="129" t="s">
        <v>169</v>
      </c>
      <c r="D98" s="130"/>
      <c r="E98" s="130"/>
      <c r="F98" s="130"/>
      <c r="G98" s="131"/>
      <c r="I98" s="160" t="s">
        <v>288</v>
      </c>
      <c r="J98" s="161"/>
      <c r="K98" s="161"/>
      <c r="L98" s="161"/>
      <c r="M98" s="161"/>
      <c r="N98" s="161"/>
      <c r="O98" s="161"/>
      <c r="P98" s="161"/>
      <c r="Q98" s="161"/>
      <c r="R98" s="161"/>
      <c r="S98" s="161"/>
      <c r="T98" s="162"/>
    </row>
    <row r="99" spans="2:20" ht="15" customHeight="1" x14ac:dyDescent="0.25">
      <c r="C99" s="129" t="s">
        <v>170</v>
      </c>
      <c r="D99" s="130"/>
      <c r="E99" s="130"/>
      <c r="F99" s="130"/>
      <c r="G99" s="131"/>
      <c r="I99" s="163" t="s">
        <v>289</v>
      </c>
      <c r="J99" s="164"/>
      <c r="K99" s="164"/>
      <c r="L99" s="164"/>
      <c r="M99" s="164"/>
      <c r="N99" s="164"/>
      <c r="O99" s="164"/>
      <c r="P99" s="164"/>
      <c r="Q99" s="164"/>
      <c r="R99" s="164"/>
      <c r="S99" s="164"/>
      <c r="T99" s="165"/>
    </row>
    <row r="100" spans="2:20" ht="15" customHeight="1" x14ac:dyDescent="0.25">
      <c r="C100" s="129" t="s">
        <v>171</v>
      </c>
      <c r="D100" s="130"/>
      <c r="E100" s="130"/>
      <c r="F100" s="130"/>
      <c r="G100" s="131"/>
      <c r="H100" s="130"/>
      <c r="I100" s="163"/>
      <c r="J100" s="164"/>
      <c r="K100" s="164"/>
      <c r="L100" s="164"/>
      <c r="M100" s="164"/>
      <c r="N100" s="164"/>
      <c r="O100" s="164"/>
      <c r="P100" s="164"/>
      <c r="Q100" s="164"/>
      <c r="R100" s="164"/>
      <c r="S100" s="164"/>
      <c r="T100" s="165"/>
    </row>
    <row r="101" spans="2:20" ht="15.75" thickBot="1" x14ac:dyDescent="0.3">
      <c r="C101" s="132"/>
      <c r="D101" s="140"/>
      <c r="E101" s="140"/>
      <c r="F101" s="140"/>
      <c r="G101" s="141"/>
      <c r="H101" s="130"/>
      <c r="I101" s="156" t="s">
        <v>281</v>
      </c>
      <c r="J101" s="157"/>
      <c r="K101" s="157"/>
      <c r="L101" s="157"/>
      <c r="M101" s="157"/>
      <c r="N101" s="157"/>
      <c r="O101" s="157"/>
      <c r="P101" s="157"/>
      <c r="Q101" s="157"/>
      <c r="R101" s="157"/>
      <c r="S101" s="157"/>
      <c r="T101" s="158"/>
    </row>
    <row r="102" spans="2:20" x14ac:dyDescent="0.25">
      <c r="B102" s="130"/>
      <c r="C102" s="130"/>
      <c r="D102" s="130"/>
      <c r="E102" s="130"/>
      <c r="F102" s="130"/>
      <c r="G102" s="130"/>
      <c r="H102" s="130"/>
    </row>
    <row r="103" spans="2:20" x14ac:dyDescent="0.25">
      <c r="B103" s="130"/>
      <c r="C103" s="130"/>
      <c r="D103" s="130"/>
      <c r="E103" s="130"/>
      <c r="F103" s="130"/>
      <c r="G103" s="130"/>
      <c r="H103" s="130"/>
    </row>
    <row r="104" spans="2:20" x14ac:dyDescent="0.25">
      <c r="B104" s="130"/>
      <c r="C104" s="130"/>
      <c r="D104" s="130"/>
      <c r="E104" s="130"/>
      <c r="F104" s="130"/>
      <c r="G104" s="130"/>
      <c r="H104" s="130"/>
    </row>
    <row r="105" spans="2:20" x14ac:dyDescent="0.25">
      <c r="B105" s="130"/>
      <c r="C105" s="130"/>
      <c r="D105" s="130"/>
      <c r="E105" s="130"/>
      <c r="F105" s="130"/>
      <c r="G105" s="130"/>
      <c r="H105" s="130"/>
    </row>
    <row r="106" spans="2:20" x14ac:dyDescent="0.25">
      <c r="B106" s="130"/>
      <c r="C106" s="130"/>
      <c r="D106" s="130"/>
      <c r="E106" s="130"/>
      <c r="F106" s="130"/>
      <c r="G106" s="130"/>
      <c r="H106" s="130"/>
    </row>
    <row r="107" spans="2:20" x14ac:dyDescent="0.25">
      <c r="B107" s="130"/>
      <c r="C107" s="130"/>
      <c r="D107" s="130"/>
      <c r="E107" s="130"/>
      <c r="F107" s="130"/>
      <c r="G107" s="130"/>
      <c r="H107" s="130"/>
    </row>
    <row r="108" spans="2:20" x14ac:dyDescent="0.25">
      <c r="B108" s="130"/>
      <c r="C108" s="130"/>
      <c r="D108" s="130"/>
      <c r="E108" s="130"/>
      <c r="F108" s="130"/>
      <c r="G108" s="130"/>
      <c r="H108" s="130"/>
    </row>
    <row r="109" spans="2:20" x14ac:dyDescent="0.25">
      <c r="B109" s="130"/>
      <c r="C109" s="130"/>
      <c r="D109" s="130"/>
      <c r="E109" s="130"/>
      <c r="F109" s="130"/>
      <c r="G109" s="130"/>
      <c r="H109" s="130"/>
    </row>
    <row r="110" spans="2:20" x14ac:dyDescent="0.25">
      <c r="B110" s="130"/>
      <c r="C110" s="130"/>
      <c r="D110" s="130"/>
      <c r="E110" s="130"/>
      <c r="F110" s="130"/>
      <c r="G110" s="130"/>
      <c r="H110" s="130"/>
    </row>
    <row r="111" spans="2:20" x14ac:dyDescent="0.25">
      <c r="B111" s="130"/>
      <c r="C111" s="130"/>
      <c r="D111" s="130"/>
      <c r="E111" s="130"/>
      <c r="F111" s="130"/>
      <c r="G111" s="130"/>
      <c r="H111" s="130"/>
    </row>
    <row r="112" spans="2:20" x14ac:dyDescent="0.25">
      <c r="B112" s="130"/>
      <c r="C112" s="130"/>
      <c r="D112" s="130"/>
      <c r="E112" s="130"/>
      <c r="F112" s="130"/>
      <c r="G112" s="130"/>
      <c r="H112" s="130"/>
    </row>
    <row r="113" spans="2:8" x14ac:dyDescent="0.25">
      <c r="B113" s="130"/>
      <c r="C113" s="130"/>
      <c r="D113" s="130"/>
      <c r="E113" s="130"/>
      <c r="F113" s="130"/>
      <c r="G113" s="130"/>
      <c r="H113" s="130"/>
    </row>
    <row r="114" spans="2:8" x14ac:dyDescent="0.25">
      <c r="B114" s="130"/>
      <c r="C114" s="130"/>
      <c r="D114" s="130"/>
      <c r="E114" s="130"/>
      <c r="F114" s="130"/>
      <c r="G114" s="130"/>
      <c r="H114" s="130"/>
    </row>
    <row r="115" spans="2:8" x14ac:dyDescent="0.25">
      <c r="B115" s="130"/>
      <c r="C115" s="130"/>
      <c r="D115" s="130"/>
      <c r="E115" s="130"/>
      <c r="F115" s="130"/>
      <c r="G115" s="130"/>
      <c r="H115" s="130"/>
    </row>
    <row r="116" spans="2:8" x14ac:dyDescent="0.25">
      <c r="B116" s="130"/>
      <c r="C116" s="130"/>
      <c r="D116" s="130"/>
      <c r="E116" s="130"/>
      <c r="F116" s="130"/>
      <c r="G116" s="130"/>
      <c r="H116" s="130"/>
    </row>
    <row r="117" spans="2:8" x14ac:dyDescent="0.25">
      <c r="B117" s="130"/>
      <c r="C117" s="130"/>
      <c r="D117" s="130"/>
      <c r="E117" s="130"/>
      <c r="F117" s="130"/>
      <c r="G117" s="130"/>
      <c r="H117" s="130"/>
    </row>
    <row r="118" spans="2:8" x14ac:dyDescent="0.25">
      <c r="B118" s="130"/>
      <c r="C118" s="130"/>
      <c r="D118" s="130"/>
      <c r="E118" s="130"/>
      <c r="F118" s="130"/>
      <c r="G118" s="130"/>
      <c r="H118" s="130"/>
    </row>
    <row r="119" spans="2:8" x14ac:dyDescent="0.25">
      <c r="B119" s="130"/>
      <c r="C119" s="130"/>
      <c r="D119" s="130"/>
      <c r="E119" s="130"/>
      <c r="F119" s="130"/>
      <c r="G119" s="130"/>
      <c r="H119" s="130"/>
    </row>
    <row r="120" spans="2:8" x14ac:dyDescent="0.25">
      <c r="B120" s="130"/>
      <c r="C120" s="130"/>
      <c r="D120" s="130"/>
      <c r="E120" s="130"/>
      <c r="F120" s="130"/>
      <c r="G120" s="130"/>
      <c r="H120" s="130"/>
    </row>
    <row r="121" spans="2:8" x14ac:dyDescent="0.25">
      <c r="B121" s="130"/>
      <c r="C121" s="130"/>
      <c r="D121" s="130"/>
      <c r="E121" s="130"/>
      <c r="F121" s="130"/>
      <c r="G121" s="130"/>
      <c r="H121" s="130"/>
    </row>
    <row r="122" spans="2:8" x14ac:dyDescent="0.25">
      <c r="B122" s="130"/>
      <c r="C122" s="130"/>
      <c r="D122" s="130"/>
      <c r="E122" s="130"/>
      <c r="F122" s="130"/>
      <c r="G122" s="130"/>
      <c r="H122" s="130"/>
    </row>
    <row r="123" spans="2:8" x14ac:dyDescent="0.25">
      <c r="B123" s="130"/>
      <c r="C123" s="130"/>
      <c r="D123" s="130"/>
      <c r="E123" s="130"/>
      <c r="F123" s="130"/>
      <c r="G123" s="130"/>
      <c r="H123" s="130"/>
    </row>
    <row r="124" spans="2:8" x14ac:dyDescent="0.25">
      <c r="B124" s="130"/>
      <c r="C124" s="130"/>
      <c r="D124" s="130"/>
      <c r="E124" s="130"/>
      <c r="F124" s="130"/>
      <c r="G124" s="130"/>
      <c r="H124" s="130"/>
    </row>
    <row r="125" spans="2:8" x14ac:dyDescent="0.25">
      <c r="B125" s="130"/>
      <c r="C125" s="130"/>
      <c r="D125" s="130"/>
      <c r="E125" s="130"/>
      <c r="F125" s="130"/>
      <c r="G125" s="130"/>
      <c r="H125" s="130"/>
    </row>
    <row r="126" spans="2:8" x14ac:dyDescent="0.25">
      <c r="B126" s="130"/>
      <c r="C126" s="130"/>
      <c r="D126" s="130"/>
      <c r="E126" s="130"/>
      <c r="F126" s="130"/>
      <c r="G126" s="130"/>
      <c r="H126" s="130"/>
    </row>
    <row r="127" spans="2:8" x14ac:dyDescent="0.25">
      <c r="B127" s="130"/>
      <c r="C127" s="130"/>
      <c r="D127" s="130"/>
      <c r="E127" s="130"/>
      <c r="F127" s="130"/>
      <c r="G127" s="130"/>
      <c r="H127" s="130"/>
    </row>
    <row r="128" spans="2:8" x14ac:dyDescent="0.25">
      <c r="B128" s="130"/>
      <c r="C128" s="130"/>
      <c r="D128" s="130"/>
      <c r="E128" s="130"/>
      <c r="F128" s="130"/>
      <c r="G128" s="130"/>
      <c r="H128" s="130"/>
    </row>
    <row r="129" spans="2:8" x14ac:dyDescent="0.25">
      <c r="B129" s="130"/>
      <c r="C129" s="130"/>
      <c r="D129" s="130"/>
      <c r="E129" s="130"/>
      <c r="F129" s="130"/>
      <c r="G129" s="130"/>
      <c r="H129" s="130"/>
    </row>
    <row r="130" spans="2:8" x14ac:dyDescent="0.25">
      <c r="B130" s="130"/>
      <c r="C130" s="130"/>
      <c r="D130" s="130"/>
      <c r="E130" s="130"/>
      <c r="F130" s="130"/>
      <c r="G130" s="130"/>
      <c r="H130" s="130"/>
    </row>
    <row r="131" spans="2:8" x14ac:dyDescent="0.25">
      <c r="B131" s="130"/>
      <c r="C131" s="130"/>
      <c r="D131" s="130"/>
      <c r="E131" s="130"/>
      <c r="F131" s="130"/>
      <c r="G131" s="130"/>
      <c r="H131" s="130"/>
    </row>
    <row r="132" spans="2:8" x14ac:dyDescent="0.25">
      <c r="B132" s="130"/>
      <c r="C132" s="130"/>
      <c r="D132" s="130"/>
      <c r="E132" s="130"/>
      <c r="F132" s="130"/>
      <c r="G132" s="130"/>
      <c r="H132" s="130"/>
    </row>
    <row r="133" spans="2:8" x14ac:dyDescent="0.25">
      <c r="B133" s="130"/>
      <c r="C133" s="130"/>
      <c r="D133" s="130"/>
      <c r="E133" s="130"/>
      <c r="F133" s="130"/>
      <c r="G133" s="130"/>
      <c r="H133" s="130"/>
    </row>
    <row r="134" spans="2:8" x14ac:dyDescent="0.25">
      <c r="B134" s="130"/>
      <c r="C134" s="130"/>
      <c r="D134" s="130"/>
      <c r="E134" s="130"/>
      <c r="F134" s="130"/>
      <c r="G134" s="130"/>
      <c r="H134" s="130"/>
    </row>
    <row r="135" spans="2:8" x14ac:dyDescent="0.25">
      <c r="B135" s="130"/>
      <c r="C135" s="130"/>
      <c r="D135" s="130"/>
      <c r="E135" s="130"/>
      <c r="F135" s="130"/>
      <c r="G135" s="130"/>
    </row>
    <row r="136" spans="2:8" x14ac:dyDescent="0.25">
      <c r="B136" s="130"/>
      <c r="C136" s="130"/>
      <c r="D136" s="130"/>
      <c r="E136" s="130"/>
      <c r="F136" s="130"/>
      <c r="G136" s="130"/>
    </row>
  </sheetData>
  <mergeCells count="44">
    <mergeCell ref="I83:T83"/>
    <mergeCell ref="I84:T84"/>
    <mergeCell ref="I85:T85"/>
    <mergeCell ref="I78:T78"/>
    <mergeCell ref="I79:T79"/>
    <mergeCell ref="I80:T80"/>
    <mergeCell ref="I81:T81"/>
    <mergeCell ref="I82:T82"/>
    <mergeCell ref="I73:T73"/>
    <mergeCell ref="I74:T74"/>
    <mergeCell ref="I75:T75"/>
    <mergeCell ref="I76:T76"/>
    <mergeCell ref="I77:T77"/>
    <mergeCell ref="I68:T68"/>
    <mergeCell ref="I69:T69"/>
    <mergeCell ref="I70:T70"/>
    <mergeCell ref="I71:T71"/>
    <mergeCell ref="I72:T72"/>
    <mergeCell ref="I63:T63"/>
    <mergeCell ref="I64:T64"/>
    <mergeCell ref="I65:T65"/>
    <mergeCell ref="I66:T66"/>
    <mergeCell ref="I67:T67"/>
    <mergeCell ref="I58:T58"/>
    <mergeCell ref="I59:T59"/>
    <mergeCell ref="I60:T60"/>
    <mergeCell ref="I61:T61"/>
    <mergeCell ref="I62:T62"/>
    <mergeCell ref="I101:T101"/>
    <mergeCell ref="C53:E53"/>
    <mergeCell ref="I94:T94"/>
    <mergeCell ref="I95:T95"/>
    <mergeCell ref="I96:T96"/>
    <mergeCell ref="I97:T97"/>
    <mergeCell ref="I98:T98"/>
    <mergeCell ref="I99:T99"/>
    <mergeCell ref="I89:T89"/>
    <mergeCell ref="I90:T90"/>
    <mergeCell ref="I91:T91"/>
    <mergeCell ref="I92:T92"/>
    <mergeCell ref="I93:T93"/>
    <mergeCell ref="I100:T100"/>
    <mergeCell ref="I56:T56"/>
    <mergeCell ref="I57:T57"/>
  </mergeCells>
  <pageMargins left="0.7" right="0.7" top="0.75" bottom="0.75" header="0.3" footer="0.3"/>
  <pageSetup scale="63" fitToHeight="0" orientation="landscape" r:id="rId1"/>
  <drawing r:id="rId2"/>
  <legacyDrawing r:id="rId3"/>
  <controls>
    <mc:AlternateContent xmlns:mc="http://schemas.openxmlformats.org/markup-compatibility/2006">
      <mc:Choice Requires="x14">
        <control shapeId="1041" r:id="rId4" name="TextBox14">
          <controlPr defaultSize="0" autoLine="0" r:id="rId5">
            <anchor>
              <from>
                <xdr:col>12</xdr:col>
                <xdr:colOff>981075</xdr:colOff>
                <xdr:row>4</xdr:row>
                <xdr:rowOff>28575</xdr:rowOff>
              </from>
              <to>
                <xdr:col>20</xdr:col>
                <xdr:colOff>85725</xdr:colOff>
                <xdr:row>5</xdr:row>
                <xdr:rowOff>104775</xdr:rowOff>
              </to>
            </anchor>
          </controlPr>
        </control>
      </mc:Choice>
      <mc:Fallback>
        <control shapeId="1041" r:id="rId4" name="TextBox14"/>
      </mc:Fallback>
    </mc:AlternateContent>
    <mc:AlternateContent xmlns:mc="http://schemas.openxmlformats.org/markup-compatibility/2006">
      <mc:Choice Requires="x14">
        <control shapeId="1040" r:id="rId6" name="TextBox13">
          <controlPr defaultSize="0" autoLine="0" r:id="rId7">
            <anchor>
              <from>
                <xdr:col>9</xdr:col>
                <xdr:colOff>485775</xdr:colOff>
                <xdr:row>4</xdr:row>
                <xdr:rowOff>38100</xdr:rowOff>
              </from>
              <to>
                <xdr:col>12</xdr:col>
                <xdr:colOff>523875</xdr:colOff>
                <xdr:row>5</xdr:row>
                <xdr:rowOff>114300</xdr:rowOff>
              </to>
            </anchor>
          </controlPr>
        </control>
      </mc:Choice>
      <mc:Fallback>
        <control shapeId="1040" r:id="rId6" name="TextBox13"/>
      </mc:Fallback>
    </mc:AlternateContent>
    <mc:AlternateContent xmlns:mc="http://schemas.openxmlformats.org/markup-compatibility/2006">
      <mc:Choice Requires="x14">
        <control shapeId="1038" r:id="rId8" name="TextBox12">
          <controlPr defaultSize="0" autoLine="0" linkedCell="R12" r:id="rId9">
            <anchor>
              <from>
                <xdr:col>9</xdr:col>
                <xdr:colOff>685800</xdr:colOff>
                <xdr:row>19</xdr:row>
                <xdr:rowOff>19050</xdr:rowOff>
              </from>
              <to>
                <xdr:col>12</xdr:col>
                <xdr:colOff>704850</xdr:colOff>
                <xdr:row>20</xdr:row>
                <xdr:rowOff>95250</xdr:rowOff>
              </to>
            </anchor>
          </controlPr>
        </control>
      </mc:Choice>
      <mc:Fallback>
        <control shapeId="1038" r:id="rId8" name="TextBox12"/>
      </mc:Fallback>
    </mc:AlternateContent>
    <mc:AlternateContent xmlns:mc="http://schemas.openxmlformats.org/markup-compatibility/2006">
      <mc:Choice Requires="x14">
        <control shapeId="1037" r:id="rId10" name="TextBox11">
          <controlPr defaultSize="0" autoLine="0" linkedCell="R14" r:id="rId11">
            <anchor>
              <from>
                <xdr:col>9</xdr:col>
                <xdr:colOff>485775</xdr:colOff>
                <xdr:row>12</xdr:row>
                <xdr:rowOff>28575</xdr:rowOff>
              </from>
              <to>
                <xdr:col>12</xdr:col>
                <xdr:colOff>676275</xdr:colOff>
                <xdr:row>13</xdr:row>
                <xdr:rowOff>104775</xdr:rowOff>
              </to>
            </anchor>
          </controlPr>
        </control>
      </mc:Choice>
      <mc:Fallback>
        <control shapeId="1037" r:id="rId10" name="TextBox11"/>
      </mc:Fallback>
    </mc:AlternateContent>
    <mc:AlternateContent xmlns:mc="http://schemas.openxmlformats.org/markup-compatibility/2006">
      <mc:Choice Requires="x14">
        <control shapeId="1036" r:id="rId12" name="TextBox10">
          <controlPr defaultSize="0" autoLine="0" linkedCell="R15" r:id="rId13">
            <anchor>
              <from>
                <xdr:col>9</xdr:col>
                <xdr:colOff>66675</xdr:colOff>
                <xdr:row>7</xdr:row>
                <xdr:rowOff>123825</xdr:rowOff>
              </from>
              <to>
                <xdr:col>12</xdr:col>
                <xdr:colOff>781050</xdr:colOff>
                <xdr:row>9</xdr:row>
                <xdr:rowOff>9525</xdr:rowOff>
              </to>
            </anchor>
          </controlPr>
        </control>
      </mc:Choice>
      <mc:Fallback>
        <control shapeId="1036" r:id="rId12" name="TextBox10"/>
      </mc:Fallback>
    </mc:AlternateContent>
    <mc:AlternateContent xmlns:mc="http://schemas.openxmlformats.org/markup-compatibility/2006">
      <mc:Choice Requires="x14">
        <control shapeId="1034" r:id="rId14" name="TextBox8">
          <controlPr defaultSize="0" autoLine="0" linkedCell="P17" r:id="rId15">
            <anchor moveWithCells="1">
              <from>
                <xdr:col>8</xdr:col>
                <xdr:colOff>352425</xdr:colOff>
                <xdr:row>37</xdr:row>
                <xdr:rowOff>142875</xdr:rowOff>
              </from>
              <to>
                <xdr:col>11</xdr:col>
                <xdr:colOff>238125</xdr:colOff>
                <xdr:row>39</xdr:row>
                <xdr:rowOff>28575</xdr:rowOff>
              </to>
            </anchor>
          </controlPr>
        </control>
      </mc:Choice>
      <mc:Fallback>
        <control shapeId="1034" r:id="rId14" name="TextBox8"/>
      </mc:Fallback>
    </mc:AlternateContent>
    <mc:AlternateContent xmlns:mc="http://schemas.openxmlformats.org/markup-compatibility/2006">
      <mc:Choice Requires="x14">
        <control shapeId="1033" r:id="rId16" name="TextBox7">
          <controlPr defaultSize="0" autoLine="0" linkedCell="P18" r:id="rId17">
            <anchor moveWithCells="1">
              <from>
                <xdr:col>11</xdr:col>
                <xdr:colOff>514350</xdr:colOff>
                <xdr:row>37</xdr:row>
                <xdr:rowOff>142875</xdr:rowOff>
              </from>
              <to>
                <xdr:col>12</xdr:col>
                <xdr:colOff>1838325</xdr:colOff>
                <xdr:row>39</xdr:row>
                <xdr:rowOff>28575</xdr:rowOff>
              </to>
            </anchor>
          </controlPr>
        </control>
      </mc:Choice>
      <mc:Fallback>
        <control shapeId="1033" r:id="rId16" name="TextBox7"/>
      </mc:Fallback>
    </mc:AlternateContent>
    <mc:AlternateContent xmlns:mc="http://schemas.openxmlformats.org/markup-compatibility/2006">
      <mc:Choice Requires="x14">
        <control shapeId="1032" r:id="rId18" name="TextBox6">
          <controlPr defaultSize="0" autoLine="0" linkedCell="P16" r:id="rId19">
            <anchor moveWithCells="1">
              <from>
                <xdr:col>11</xdr:col>
                <xdr:colOff>571500</xdr:colOff>
                <xdr:row>32</xdr:row>
                <xdr:rowOff>152400</xdr:rowOff>
              </from>
              <to>
                <xdr:col>12</xdr:col>
                <xdr:colOff>1933575</xdr:colOff>
                <xdr:row>34</xdr:row>
                <xdr:rowOff>38100</xdr:rowOff>
              </to>
            </anchor>
          </controlPr>
        </control>
      </mc:Choice>
      <mc:Fallback>
        <control shapeId="1032" r:id="rId18" name="TextBox6"/>
      </mc:Fallback>
    </mc:AlternateContent>
    <mc:AlternateContent xmlns:mc="http://schemas.openxmlformats.org/markup-compatibility/2006">
      <mc:Choice Requires="x14">
        <control shapeId="1031" r:id="rId20" name="TextBox5">
          <controlPr defaultSize="0" autoLine="0" linkedCell="P13" r:id="rId21">
            <anchor>
              <from>
                <xdr:col>12</xdr:col>
                <xdr:colOff>1200150</xdr:colOff>
                <xdr:row>21</xdr:row>
                <xdr:rowOff>66675</xdr:rowOff>
              </from>
              <to>
                <xdr:col>20</xdr:col>
                <xdr:colOff>466725</xdr:colOff>
                <xdr:row>22</xdr:row>
                <xdr:rowOff>142875</xdr:rowOff>
              </to>
            </anchor>
          </controlPr>
        </control>
      </mc:Choice>
      <mc:Fallback>
        <control shapeId="1031" r:id="rId20" name="TextBox5"/>
      </mc:Fallback>
    </mc:AlternateContent>
    <mc:AlternateContent xmlns:mc="http://schemas.openxmlformats.org/markup-compatibility/2006">
      <mc:Choice Requires="x14">
        <control shapeId="1030" r:id="rId22" name="TextBox4">
          <controlPr defaultSize="0" autoLine="0" linkedCell="P12" r:id="rId23">
            <anchor>
              <from>
                <xdr:col>12</xdr:col>
                <xdr:colOff>952500</xdr:colOff>
                <xdr:row>19</xdr:row>
                <xdr:rowOff>9525</xdr:rowOff>
              </from>
              <to>
                <xdr:col>20</xdr:col>
                <xdr:colOff>38100</xdr:colOff>
                <xdr:row>20</xdr:row>
                <xdr:rowOff>85725</xdr:rowOff>
              </to>
            </anchor>
          </controlPr>
        </control>
      </mc:Choice>
      <mc:Fallback>
        <control shapeId="1030" r:id="rId22" name="TextBox4"/>
      </mc:Fallback>
    </mc:AlternateContent>
    <mc:AlternateContent xmlns:mc="http://schemas.openxmlformats.org/markup-compatibility/2006">
      <mc:Choice Requires="x14">
        <control shapeId="1029" r:id="rId24" name="TextBox3">
          <controlPr defaultSize="0" autoLine="0" linkedCell="P14" r:id="rId25">
            <anchor>
              <from>
                <xdr:col>12</xdr:col>
                <xdr:colOff>971550</xdr:colOff>
                <xdr:row>12</xdr:row>
                <xdr:rowOff>19050</xdr:rowOff>
              </from>
              <to>
                <xdr:col>20</xdr:col>
                <xdr:colOff>0</xdr:colOff>
                <xdr:row>13</xdr:row>
                <xdr:rowOff>95250</xdr:rowOff>
              </to>
            </anchor>
          </controlPr>
        </control>
      </mc:Choice>
      <mc:Fallback>
        <control shapeId="1029" r:id="rId24" name="TextBox3"/>
      </mc:Fallback>
    </mc:AlternateContent>
    <mc:AlternateContent xmlns:mc="http://schemas.openxmlformats.org/markup-compatibility/2006">
      <mc:Choice Requires="x14">
        <control shapeId="1028" r:id="rId26" name="TextBox2">
          <controlPr defaultSize="0" autoLine="0" linkedCell="P15" r:id="rId27">
            <anchor>
              <from>
                <xdr:col>12</xdr:col>
                <xdr:colOff>904875</xdr:colOff>
                <xdr:row>7</xdr:row>
                <xdr:rowOff>123825</xdr:rowOff>
              </from>
              <to>
                <xdr:col>20</xdr:col>
                <xdr:colOff>266700</xdr:colOff>
                <xdr:row>9</xdr:row>
                <xdr:rowOff>9525</xdr:rowOff>
              </to>
            </anchor>
          </controlPr>
        </control>
      </mc:Choice>
      <mc:Fallback>
        <control shapeId="1028" r:id="rId26" name="TextBox2"/>
      </mc:Fallback>
    </mc:AlternateContent>
    <mc:AlternateContent xmlns:mc="http://schemas.openxmlformats.org/markup-compatibility/2006">
      <mc:Choice Requires="x14">
        <control shapeId="1025" r:id="rId28" name="UnitsButtonMetric">
          <controlPr locked="0" print="0" autoLine="0" linkedCell="IsMetric" r:id="rId29">
            <anchor moveWithCells="1">
              <from>
                <xdr:col>5</xdr:col>
                <xdr:colOff>762000</xdr:colOff>
                <xdr:row>0</xdr:row>
                <xdr:rowOff>361950</xdr:rowOff>
              </from>
              <to>
                <xdr:col>6</xdr:col>
                <xdr:colOff>628650</xdr:colOff>
                <xdr:row>2</xdr:row>
                <xdr:rowOff>9525</xdr:rowOff>
              </to>
            </anchor>
          </controlPr>
        </control>
      </mc:Choice>
      <mc:Fallback>
        <control shapeId="1025" r:id="rId28" name="UnitsButtonMetric"/>
      </mc:Fallback>
    </mc:AlternateContent>
    <mc:AlternateContent xmlns:mc="http://schemas.openxmlformats.org/markup-compatibility/2006">
      <mc:Choice Requires="x14">
        <control shapeId="1026" r:id="rId30" name="UnitsButtonImperial">
          <controlPr locked="0" print="0" autoLine="0" r:id="rId31">
            <anchor moveWithCells="1">
              <from>
                <xdr:col>5</xdr:col>
                <xdr:colOff>762000</xdr:colOff>
                <xdr:row>1</xdr:row>
                <xdr:rowOff>171450</xdr:rowOff>
              </from>
              <to>
                <xdr:col>6</xdr:col>
                <xdr:colOff>561975</xdr:colOff>
                <xdr:row>3</xdr:row>
                <xdr:rowOff>142875</xdr:rowOff>
              </to>
            </anchor>
          </controlPr>
        </control>
      </mc:Choice>
      <mc:Fallback>
        <control shapeId="1026" r:id="rId30" name="UnitsButtonImperial"/>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L56"/>
  <sheetViews>
    <sheetView showGridLines="0" topLeftCell="A25" workbookViewId="0">
      <selection activeCell="E7" sqref="E7"/>
    </sheetView>
  </sheetViews>
  <sheetFormatPr defaultRowHeight="15" x14ac:dyDescent="0.25"/>
  <cols>
    <col min="11" max="12" width="10.140625" bestFit="1" customWidth="1"/>
    <col min="16" max="16" width="13.7109375" bestFit="1" customWidth="1"/>
    <col min="18" max="18" width="9.28515625" bestFit="1" customWidth="1"/>
    <col min="20" max="20" width="9.28515625" bestFit="1" customWidth="1"/>
    <col min="21" max="21" width="9.7109375" bestFit="1" customWidth="1"/>
    <col min="22" max="22" width="9" customWidth="1"/>
  </cols>
  <sheetData>
    <row r="3" spans="1:12" ht="15.75" thickBot="1" x14ac:dyDescent="0.3"/>
    <row r="4" spans="1:12" ht="15" customHeight="1" x14ac:dyDescent="0.25">
      <c r="B4" s="184"/>
      <c r="C4" s="178" t="s">
        <v>10</v>
      </c>
      <c r="D4" s="179"/>
      <c r="E4" s="180"/>
      <c r="F4" s="178" t="s">
        <v>10</v>
      </c>
      <c r="G4" s="179"/>
      <c r="H4" s="180"/>
      <c r="I4" s="178" t="s">
        <v>10</v>
      </c>
      <c r="J4" s="179"/>
      <c r="K4" s="179"/>
      <c r="L4" s="180"/>
    </row>
    <row r="5" spans="1:12" ht="15" customHeight="1" thickBot="1" x14ac:dyDescent="0.3">
      <c r="B5" s="185"/>
      <c r="C5" s="181" t="s">
        <v>11</v>
      </c>
      <c r="D5" s="182"/>
      <c r="E5" s="183"/>
      <c r="F5" s="181" t="s">
        <v>12</v>
      </c>
      <c r="G5" s="182"/>
      <c r="H5" s="183"/>
      <c r="I5" s="181" t="s">
        <v>13</v>
      </c>
      <c r="J5" s="182"/>
      <c r="K5" s="182"/>
      <c r="L5" s="183"/>
    </row>
    <row r="6" spans="1:12" x14ac:dyDescent="0.25">
      <c r="B6" s="22" t="s">
        <v>14</v>
      </c>
      <c r="C6" s="23" t="s">
        <v>27</v>
      </c>
      <c r="D6" s="24" t="s">
        <v>33</v>
      </c>
      <c r="E6" s="25" t="s">
        <v>28</v>
      </c>
      <c r="F6" s="26" t="s">
        <v>29</v>
      </c>
      <c r="G6" s="24" t="s">
        <v>30</v>
      </c>
      <c r="H6" s="25" t="s">
        <v>31</v>
      </c>
      <c r="I6" s="26" t="s">
        <v>31</v>
      </c>
      <c r="J6" s="27" t="s">
        <v>32</v>
      </c>
      <c r="K6" s="27" t="s">
        <v>34</v>
      </c>
      <c r="L6" s="28" t="s">
        <v>35</v>
      </c>
    </row>
    <row r="7" spans="1:12" x14ac:dyDescent="0.25">
      <c r="B7" s="19" t="s">
        <v>44</v>
      </c>
      <c r="C7" s="15">
        <v>1065</v>
      </c>
      <c r="D7" s="5">
        <v>1587</v>
      </c>
      <c r="E7" s="7">
        <v>2833</v>
      </c>
      <c r="F7" s="6">
        <v>4255</v>
      </c>
      <c r="G7" s="5">
        <v>5445</v>
      </c>
      <c r="H7" s="7">
        <v>7584</v>
      </c>
      <c r="I7" s="6">
        <v>7584</v>
      </c>
      <c r="J7" s="5">
        <v>7807</v>
      </c>
      <c r="K7" s="5">
        <v>10229</v>
      </c>
      <c r="L7" s="7">
        <v>14434</v>
      </c>
    </row>
    <row r="8" spans="1:12" s="39" customFormat="1" hidden="1" x14ac:dyDescent="0.25">
      <c r="A8" s="39" t="s">
        <v>36</v>
      </c>
      <c r="B8" s="40" t="s">
        <v>37</v>
      </c>
      <c r="C8" s="41">
        <v>2</v>
      </c>
      <c r="D8" s="42">
        <v>3</v>
      </c>
      <c r="E8" s="43">
        <v>4</v>
      </c>
      <c r="F8" s="44">
        <v>5</v>
      </c>
      <c r="G8" s="42">
        <v>6</v>
      </c>
      <c r="H8" s="43">
        <v>7</v>
      </c>
      <c r="I8" s="44">
        <v>8</v>
      </c>
      <c r="J8" s="42">
        <v>9</v>
      </c>
      <c r="K8" s="42">
        <v>10</v>
      </c>
      <c r="L8" s="43">
        <v>11</v>
      </c>
    </row>
    <row r="9" spans="1:12" x14ac:dyDescent="0.25">
      <c r="B9" s="20">
        <v>5</v>
      </c>
      <c r="C9" s="16">
        <v>70</v>
      </c>
      <c r="D9" s="3"/>
      <c r="E9" s="9"/>
      <c r="F9" s="8"/>
      <c r="G9" s="3"/>
      <c r="H9" s="9"/>
      <c r="I9" s="8">
        <v>550</v>
      </c>
      <c r="J9" s="3"/>
      <c r="K9" s="3"/>
      <c r="L9" s="9"/>
    </row>
    <row r="10" spans="1:12" x14ac:dyDescent="0.25">
      <c r="B10" s="19">
        <v>6</v>
      </c>
      <c r="C10" s="17">
        <v>80</v>
      </c>
      <c r="D10" s="4"/>
      <c r="E10" s="11"/>
      <c r="F10" s="10"/>
      <c r="G10" s="4"/>
      <c r="H10" s="11"/>
      <c r="I10" s="10">
        <v>600</v>
      </c>
      <c r="J10" s="4"/>
      <c r="K10" s="4"/>
      <c r="L10" s="11"/>
    </row>
    <row r="11" spans="1:12" x14ac:dyDescent="0.25">
      <c r="B11" s="20">
        <v>7</v>
      </c>
      <c r="C11" s="16">
        <v>90</v>
      </c>
      <c r="D11" s="3"/>
      <c r="E11" s="9"/>
      <c r="F11" s="8"/>
      <c r="G11" s="3"/>
      <c r="H11" s="9"/>
      <c r="I11" s="8">
        <v>700</v>
      </c>
      <c r="J11" s="3"/>
      <c r="K11" s="3"/>
      <c r="L11" s="9"/>
    </row>
    <row r="12" spans="1:12" x14ac:dyDescent="0.25">
      <c r="B12" s="19">
        <v>8</v>
      </c>
      <c r="C12" s="17">
        <v>100</v>
      </c>
      <c r="D12" s="4"/>
      <c r="E12" s="11"/>
      <c r="F12" s="10"/>
      <c r="G12" s="4"/>
      <c r="H12" s="11"/>
      <c r="I12" s="10">
        <v>770</v>
      </c>
      <c r="J12" s="4">
        <v>500</v>
      </c>
      <c r="K12" s="4"/>
      <c r="L12" s="11"/>
    </row>
    <row r="13" spans="1:12" x14ac:dyDescent="0.25">
      <c r="B13" s="20">
        <v>9</v>
      </c>
      <c r="C13" s="16">
        <v>110</v>
      </c>
      <c r="D13" s="3"/>
      <c r="E13" s="9"/>
      <c r="F13" s="8"/>
      <c r="G13" s="3"/>
      <c r="H13" s="9"/>
      <c r="I13" s="8">
        <v>830</v>
      </c>
      <c r="J13" s="3">
        <v>550</v>
      </c>
      <c r="K13" s="3"/>
      <c r="L13" s="9"/>
    </row>
    <row r="14" spans="1:12" x14ac:dyDescent="0.25">
      <c r="B14" s="19">
        <v>10</v>
      </c>
      <c r="C14" s="17">
        <v>125</v>
      </c>
      <c r="D14" s="4"/>
      <c r="E14" s="11"/>
      <c r="F14" s="10">
        <v>180</v>
      </c>
      <c r="G14" s="4"/>
      <c r="H14" s="11"/>
      <c r="I14" s="10">
        <v>900</v>
      </c>
      <c r="J14" s="4">
        <v>600</v>
      </c>
      <c r="K14" s="4">
        <v>320</v>
      </c>
      <c r="L14" s="11"/>
    </row>
    <row r="15" spans="1:12" x14ac:dyDescent="0.25">
      <c r="B15" s="20">
        <v>11</v>
      </c>
      <c r="C15" s="16">
        <v>135</v>
      </c>
      <c r="D15" s="3"/>
      <c r="E15" s="9"/>
      <c r="F15" s="8">
        <v>240</v>
      </c>
      <c r="G15" s="3"/>
      <c r="H15" s="9"/>
      <c r="I15" s="8">
        <v>1000</v>
      </c>
      <c r="J15" s="3">
        <v>650</v>
      </c>
      <c r="K15" s="3">
        <v>380</v>
      </c>
      <c r="L15" s="9"/>
    </row>
    <row r="16" spans="1:12" x14ac:dyDescent="0.25">
      <c r="B16" s="19">
        <v>12</v>
      </c>
      <c r="C16" s="17">
        <v>150</v>
      </c>
      <c r="D16" s="4">
        <v>100</v>
      </c>
      <c r="E16" s="11"/>
      <c r="F16" s="10">
        <v>270</v>
      </c>
      <c r="G16" s="4"/>
      <c r="H16" s="11"/>
      <c r="I16" s="10">
        <v>1100</v>
      </c>
      <c r="J16" s="4">
        <v>720</v>
      </c>
      <c r="K16" s="4">
        <v>440</v>
      </c>
      <c r="L16" s="11"/>
    </row>
    <row r="17" spans="2:12" x14ac:dyDescent="0.25">
      <c r="B17" s="20">
        <v>13</v>
      </c>
      <c r="C17" s="16">
        <v>160</v>
      </c>
      <c r="D17" s="3">
        <v>110</v>
      </c>
      <c r="E17" s="9"/>
      <c r="F17" s="8">
        <v>300</v>
      </c>
      <c r="G17" s="3"/>
      <c r="H17" s="9"/>
      <c r="I17" s="8">
        <v>1200</v>
      </c>
      <c r="J17" s="3">
        <v>780</v>
      </c>
      <c r="K17" s="3">
        <v>500</v>
      </c>
      <c r="L17" s="9"/>
    </row>
    <row r="18" spans="2:12" x14ac:dyDescent="0.25">
      <c r="B18" s="19">
        <v>14</v>
      </c>
      <c r="C18" s="17">
        <v>170</v>
      </c>
      <c r="D18" s="4">
        <v>125</v>
      </c>
      <c r="E18" s="11"/>
      <c r="F18" s="10">
        <v>330</v>
      </c>
      <c r="G18" s="4"/>
      <c r="H18" s="11"/>
      <c r="I18" s="10">
        <v>1300</v>
      </c>
      <c r="J18" s="4">
        <v>830</v>
      </c>
      <c r="K18" s="4">
        <v>550</v>
      </c>
      <c r="L18" s="11"/>
    </row>
    <row r="19" spans="2:12" x14ac:dyDescent="0.25">
      <c r="B19" s="20">
        <v>15</v>
      </c>
      <c r="C19" s="16">
        <v>185</v>
      </c>
      <c r="D19" s="3">
        <v>135</v>
      </c>
      <c r="E19" s="9"/>
      <c r="F19" s="8">
        <v>370</v>
      </c>
      <c r="G19" s="3"/>
      <c r="H19" s="9"/>
      <c r="I19" s="8">
        <v>1400</v>
      </c>
      <c r="J19" s="3">
        <v>900</v>
      </c>
      <c r="K19" s="3">
        <v>600</v>
      </c>
      <c r="L19" s="9">
        <v>200</v>
      </c>
    </row>
    <row r="20" spans="2:12" x14ac:dyDescent="0.25">
      <c r="B20" s="19">
        <v>16</v>
      </c>
      <c r="C20" s="17">
        <v>200</v>
      </c>
      <c r="D20" s="4">
        <v>150</v>
      </c>
      <c r="E20" s="11"/>
      <c r="F20" s="10">
        <v>420</v>
      </c>
      <c r="G20" s="4"/>
      <c r="H20" s="11"/>
      <c r="I20" s="10">
        <v>1500</v>
      </c>
      <c r="J20" s="4">
        <v>1000</v>
      </c>
      <c r="K20" s="4">
        <v>680</v>
      </c>
      <c r="L20" s="11">
        <v>230</v>
      </c>
    </row>
    <row r="21" spans="2:12" x14ac:dyDescent="0.25">
      <c r="B21" s="20">
        <v>17</v>
      </c>
      <c r="C21" s="16">
        <v>220</v>
      </c>
      <c r="D21" s="3">
        <v>165</v>
      </c>
      <c r="E21" s="9"/>
      <c r="F21" s="8">
        <v>450</v>
      </c>
      <c r="G21" s="3"/>
      <c r="H21" s="9"/>
      <c r="I21" s="8">
        <v>1650</v>
      </c>
      <c r="J21" s="3">
        <v>1080</v>
      </c>
      <c r="K21" s="3">
        <v>740</v>
      </c>
      <c r="L21" s="9">
        <v>270</v>
      </c>
    </row>
    <row r="22" spans="2:12" x14ac:dyDescent="0.25">
      <c r="B22" s="19">
        <v>18</v>
      </c>
      <c r="C22" s="17">
        <v>240</v>
      </c>
      <c r="D22" s="4">
        <v>180</v>
      </c>
      <c r="E22" s="11"/>
      <c r="F22" s="10">
        <v>500</v>
      </c>
      <c r="G22" s="4"/>
      <c r="H22" s="11"/>
      <c r="I22" s="10">
        <v>1800</v>
      </c>
      <c r="J22" s="4">
        <v>1150</v>
      </c>
      <c r="K22" s="4">
        <v>800</v>
      </c>
      <c r="L22" s="11">
        <v>290</v>
      </c>
    </row>
    <row r="23" spans="2:12" x14ac:dyDescent="0.25">
      <c r="B23" s="20">
        <v>19</v>
      </c>
      <c r="C23" s="16">
        <v>260</v>
      </c>
      <c r="D23" s="3">
        <v>200</v>
      </c>
      <c r="E23" s="9"/>
      <c r="F23" s="8">
        <v>540</v>
      </c>
      <c r="G23" s="3"/>
      <c r="H23" s="9"/>
      <c r="I23" s="8">
        <v>2000</v>
      </c>
      <c r="J23" s="3">
        <v>1220</v>
      </c>
      <c r="K23" s="3">
        <v>870</v>
      </c>
      <c r="L23" s="9">
        <v>330</v>
      </c>
    </row>
    <row r="24" spans="2:12" x14ac:dyDescent="0.25">
      <c r="B24" s="19">
        <v>20</v>
      </c>
      <c r="C24" s="17">
        <v>280</v>
      </c>
      <c r="D24" s="4">
        <v>220</v>
      </c>
      <c r="E24" s="11">
        <v>140</v>
      </c>
      <c r="F24" s="10">
        <v>590</v>
      </c>
      <c r="G24" s="4">
        <v>320</v>
      </c>
      <c r="H24" s="11"/>
      <c r="I24" s="10"/>
      <c r="J24" s="4">
        <v>1300</v>
      </c>
      <c r="K24" s="4">
        <v>950</v>
      </c>
      <c r="L24" s="11">
        <v>360</v>
      </c>
    </row>
    <row r="25" spans="2:12" x14ac:dyDescent="0.25">
      <c r="B25" s="20">
        <v>21</v>
      </c>
      <c r="C25" s="16">
        <v>300</v>
      </c>
      <c r="D25" s="3">
        <v>240</v>
      </c>
      <c r="E25" s="9">
        <v>155</v>
      </c>
      <c r="F25" s="8">
        <v>640</v>
      </c>
      <c r="G25" s="3">
        <v>360</v>
      </c>
      <c r="H25" s="9"/>
      <c r="I25" s="8"/>
      <c r="J25" s="3">
        <v>1420</v>
      </c>
      <c r="K25" s="3">
        <v>1050</v>
      </c>
      <c r="L25" s="9">
        <v>380</v>
      </c>
    </row>
    <row r="26" spans="2:12" x14ac:dyDescent="0.25">
      <c r="B26" s="19">
        <v>22</v>
      </c>
      <c r="C26" s="17"/>
      <c r="D26" s="4">
        <v>260</v>
      </c>
      <c r="E26" s="11">
        <v>170</v>
      </c>
      <c r="F26" s="10">
        <v>700</v>
      </c>
      <c r="G26" s="4">
        <v>410</v>
      </c>
      <c r="H26" s="11"/>
      <c r="I26" s="10"/>
      <c r="J26" s="4">
        <v>1540</v>
      </c>
      <c r="K26" s="4">
        <v>1130</v>
      </c>
      <c r="L26" s="11">
        <v>420</v>
      </c>
    </row>
    <row r="27" spans="2:12" x14ac:dyDescent="0.25">
      <c r="B27" s="20">
        <v>23</v>
      </c>
      <c r="C27" s="16"/>
      <c r="D27" s="3">
        <v>280</v>
      </c>
      <c r="E27" s="9">
        <v>185</v>
      </c>
      <c r="F27" s="8">
        <v>770</v>
      </c>
      <c r="G27" s="3">
        <v>450</v>
      </c>
      <c r="H27" s="9">
        <v>300</v>
      </c>
      <c r="I27" s="8"/>
      <c r="J27" s="3">
        <v>1660</v>
      </c>
      <c r="K27" s="3">
        <v>1210</v>
      </c>
      <c r="L27" s="9">
        <v>480</v>
      </c>
    </row>
    <row r="28" spans="2:12" x14ac:dyDescent="0.25">
      <c r="B28" s="19">
        <v>24</v>
      </c>
      <c r="C28" s="17"/>
      <c r="D28" s="4">
        <v>300</v>
      </c>
      <c r="E28" s="11">
        <v>200</v>
      </c>
      <c r="F28" s="10">
        <v>840</v>
      </c>
      <c r="G28" s="4">
        <v>500</v>
      </c>
      <c r="H28" s="11">
        <v>350</v>
      </c>
      <c r="I28" s="10"/>
      <c r="J28" s="4">
        <v>1800</v>
      </c>
      <c r="K28" s="4">
        <v>1300</v>
      </c>
      <c r="L28" s="11">
        <v>530</v>
      </c>
    </row>
    <row r="29" spans="2:12" x14ac:dyDescent="0.25">
      <c r="B29" s="20">
        <v>25</v>
      </c>
      <c r="C29" s="16"/>
      <c r="D29" s="3">
        <v>320</v>
      </c>
      <c r="E29" s="9">
        <v>220</v>
      </c>
      <c r="F29" s="8">
        <v>920</v>
      </c>
      <c r="G29" s="3">
        <v>560</v>
      </c>
      <c r="H29" s="9">
        <v>400</v>
      </c>
      <c r="I29" s="8"/>
      <c r="J29" s="3">
        <v>1960</v>
      </c>
      <c r="K29" s="3">
        <v>1400</v>
      </c>
      <c r="L29" s="9">
        <v>570</v>
      </c>
    </row>
    <row r="30" spans="2:12" x14ac:dyDescent="0.25">
      <c r="B30" s="19">
        <v>26</v>
      </c>
      <c r="C30" s="17"/>
      <c r="D30" s="4">
        <v>345</v>
      </c>
      <c r="E30" s="11">
        <v>245</v>
      </c>
      <c r="F30" s="10">
        <v>1030</v>
      </c>
      <c r="G30" s="4">
        <v>630</v>
      </c>
      <c r="H30" s="11">
        <v>450</v>
      </c>
      <c r="I30" s="10"/>
      <c r="J30" s="4">
        <v>2130</v>
      </c>
      <c r="K30" s="4">
        <v>1500</v>
      </c>
      <c r="L30" s="11">
        <v>600</v>
      </c>
    </row>
    <row r="31" spans="2:12" x14ac:dyDescent="0.25">
      <c r="B31" s="20">
        <v>27</v>
      </c>
      <c r="C31" s="16"/>
      <c r="D31" s="3">
        <v>370</v>
      </c>
      <c r="E31" s="9">
        <v>265</v>
      </c>
      <c r="F31" s="8">
        <v>1110</v>
      </c>
      <c r="G31" s="3">
        <v>680</v>
      </c>
      <c r="H31" s="9">
        <v>500</v>
      </c>
      <c r="I31" s="8"/>
      <c r="J31" s="3">
        <v>2300</v>
      </c>
      <c r="K31" s="3">
        <v>1600</v>
      </c>
      <c r="L31" s="9">
        <v>650</v>
      </c>
    </row>
    <row r="32" spans="2:12" x14ac:dyDescent="0.25">
      <c r="B32" s="19">
        <v>28</v>
      </c>
      <c r="C32" s="17"/>
      <c r="D32" s="4">
        <v>390</v>
      </c>
      <c r="E32" s="11">
        <v>300</v>
      </c>
      <c r="F32" s="10">
        <v>1240</v>
      </c>
      <c r="G32" s="4">
        <v>740</v>
      </c>
      <c r="H32" s="11">
        <v>550</v>
      </c>
      <c r="I32" s="10"/>
      <c r="J32" s="4">
        <v>2500</v>
      </c>
      <c r="K32" s="4">
        <v>1700</v>
      </c>
      <c r="L32" s="11">
        <v>720</v>
      </c>
    </row>
    <row r="33" spans="2:12" x14ac:dyDescent="0.25">
      <c r="B33" s="20">
        <v>29</v>
      </c>
      <c r="C33" s="16"/>
      <c r="D33" s="3">
        <v>420</v>
      </c>
      <c r="E33" s="9">
        <v>320</v>
      </c>
      <c r="F33" s="8"/>
      <c r="G33" s="3">
        <v>820</v>
      </c>
      <c r="H33" s="9">
        <v>600</v>
      </c>
      <c r="I33" s="8"/>
      <c r="J33" s="3"/>
      <c r="K33" s="3">
        <v>1850</v>
      </c>
      <c r="L33" s="9">
        <v>800</v>
      </c>
    </row>
    <row r="34" spans="2:12" x14ac:dyDescent="0.25">
      <c r="B34" s="19">
        <v>30</v>
      </c>
      <c r="C34" s="17"/>
      <c r="D34" s="4">
        <v>450</v>
      </c>
      <c r="E34" s="11">
        <v>335</v>
      </c>
      <c r="F34" s="10"/>
      <c r="G34" s="4">
        <v>890</v>
      </c>
      <c r="H34" s="11">
        <v>660</v>
      </c>
      <c r="I34" s="10"/>
      <c r="J34" s="4"/>
      <c r="K34" s="4">
        <v>2000</v>
      </c>
      <c r="L34" s="11">
        <v>870</v>
      </c>
    </row>
    <row r="35" spans="2:12" x14ac:dyDescent="0.25">
      <c r="B35" s="20">
        <v>31</v>
      </c>
      <c r="C35" s="16"/>
      <c r="D35" s="3">
        <v>475</v>
      </c>
      <c r="E35" s="9">
        <v>360</v>
      </c>
      <c r="F35" s="8"/>
      <c r="G35" s="3">
        <v>970</v>
      </c>
      <c r="H35" s="9">
        <v>720</v>
      </c>
      <c r="I35" s="8"/>
      <c r="J35" s="3"/>
      <c r="K35" s="3">
        <v>2200</v>
      </c>
      <c r="L35" s="9">
        <v>930</v>
      </c>
    </row>
    <row r="36" spans="2:12" x14ac:dyDescent="0.25">
      <c r="B36" s="19">
        <v>32</v>
      </c>
      <c r="C36" s="17"/>
      <c r="D36" s="4">
        <v>500</v>
      </c>
      <c r="E36" s="11">
        <v>390</v>
      </c>
      <c r="F36" s="10"/>
      <c r="G36" s="4">
        <v>1060</v>
      </c>
      <c r="H36" s="11">
        <v>780</v>
      </c>
      <c r="I36" s="10"/>
      <c r="J36" s="4"/>
      <c r="K36" s="4">
        <v>2400</v>
      </c>
      <c r="L36" s="11">
        <v>1000</v>
      </c>
    </row>
    <row r="37" spans="2:12" x14ac:dyDescent="0.25">
      <c r="B37" s="20">
        <v>33</v>
      </c>
      <c r="C37" s="16"/>
      <c r="D37" s="3"/>
      <c r="E37" s="9">
        <v>420</v>
      </c>
      <c r="F37" s="8"/>
      <c r="G37" s="3">
        <v>1180</v>
      </c>
      <c r="H37" s="9">
        <v>840</v>
      </c>
      <c r="I37" s="8"/>
      <c r="J37" s="3"/>
      <c r="K37" s="3">
        <v>2700</v>
      </c>
      <c r="L37" s="9">
        <v>1100</v>
      </c>
    </row>
    <row r="38" spans="2:12" x14ac:dyDescent="0.25">
      <c r="B38" s="19">
        <v>34</v>
      </c>
      <c r="C38" s="17"/>
      <c r="D38" s="4"/>
      <c r="E38" s="11">
        <v>450</v>
      </c>
      <c r="F38" s="10"/>
      <c r="G38" s="4">
        <v>1300</v>
      </c>
      <c r="H38" s="11">
        <v>900</v>
      </c>
      <c r="I38" s="10"/>
      <c r="J38" s="4"/>
      <c r="K38" s="4">
        <v>3000</v>
      </c>
      <c r="L38" s="11">
        <v>1200</v>
      </c>
    </row>
    <row r="39" spans="2:12" x14ac:dyDescent="0.25">
      <c r="B39" s="20">
        <v>35</v>
      </c>
      <c r="C39" s="16"/>
      <c r="D39" s="3"/>
      <c r="E39" s="9">
        <v>480</v>
      </c>
      <c r="F39" s="8"/>
      <c r="G39" s="3">
        <v>1480</v>
      </c>
      <c r="H39" s="9">
        <v>1000</v>
      </c>
      <c r="I39" s="8"/>
      <c r="J39" s="3"/>
      <c r="K39" s="3"/>
      <c r="L39" s="9">
        <v>1300</v>
      </c>
    </row>
    <row r="40" spans="2:12" x14ac:dyDescent="0.25">
      <c r="B40" s="19">
        <v>36</v>
      </c>
      <c r="C40" s="17"/>
      <c r="D40" s="4"/>
      <c r="E40" s="11">
        <v>520</v>
      </c>
      <c r="F40" s="10"/>
      <c r="G40" s="4">
        <v>1680</v>
      </c>
      <c r="H40" s="11">
        <v>1100</v>
      </c>
      <c r="I40" s="10"/>
      <c r="J40" s="4"/>
      <c r="K40" s="4"/>
      <c r="L40" s="11">
        <v>1400</v>
      </c>
    </row>
    <row r="41" spans="2:12" x14ac:dyDescent="0.25">
      <c r="B41" s="20">
        <v>37</v>
      </c>
      <c r="C41" s="16"/>
      <c r="D41" s="3"/>
      <c r="E41" s="9">
        <v>560</v>
      </c>
      <c r="F41" s="8"/>
      <c r="G41" s="3"/>
      <c r="H41" s="9">
        <v>1200</v>
      </c>
      <c r="I41" s="8"/>
      <c r="J41" s="3"/>
      <c r="K41" s="3"/>
      <c r="L41" s="9">
        <v>1500</v>
      </c>
    </row>
    <row r="42" spans="2:12" x14ac:dyDescent="0.25">
      <c r="B42" s="19">
        <v>38</v>
      </c>
      <c r="C42" s="17"/>
      <c r="D42" s="4"/>
      <c r="E42" s="11">
        <v>610</v>
      </c>
      <c r="F42" s="10"/>
      <c r="G42" s="4"/>
      <c r="H42" s="11">
        <v>1300</v>
      </c>
      <c r="I42" s="10"/>
      <c r="J42" s="4"/>
      <c r="K42" s="4"/>
      <c r="L42" s="11">
        <v>1650</v>
      </c>
    </row>
    <row r="43" spans="2:12" x14ac:dyDescent="0.25">
      <c r="B43" s="20">
        <v>39</v>
      </c>
      <c r="C43" s="16"/>
      <c r="D43" s="3"/>
      <c r="E43" s="9">
        <v>700</v>
      </c>
      <c r="F43" s="8"/>
      <c r="G43" s="3"/>
      <c r="H43" s="9">
        <v>1600</v>
      </c>
      <c r="I43" s="8"/>
      <c r="J43" s="3"/>
      <c r="K43" s="3"/>
      <c r="L43" s="9">
        <v>1770</v>
      </c>
    </row>
    <row r="44" spans="2:12" x14ac:dyDescent="0.25">
      <c r="B44" s="19">
        <v>40</v>
      </c>
      <c r="C44" s="17"/>
      <c r="D44" s="4"/>
      <c r="E44" s="11">
        <v>800</v>
      </c>
      <c r="F44" s="10"/>
      <c r="G44" s="4"/>
      <c r="H44" s="11">
        <v>2000</v>
      </c>
      <c r="I44" s="10"/>
      <c r="J44" s="4"/>
      <c r="K44" s="4"/>
      <c r="L44" s="11">
        <v>1900</v>
      </c>
    </row>
    <row r="45" spans="2:12" x14ac:dyDescent="0.25">
      <c r="B45" s="20">
        <v>41</v>
      </c>
      <c r="C45" s="16"/>
      <c r="D45" s="3"/>
      <c r="E45" s="9"/>
      <c r="F45" s="8"/>
      <c r="G45" s="3"/>
      <c r="H45" s="9"/>
      <c r="I45" s="8"/>
      <c r="J45" s="3"/>
      <c r="K45" s="3"/>
      <c r="L45" s="9">
        <v>2100</v>
      </c>
    </row>
    <row r="46" spans="2:12" x14ac:dyDescent="0.25">
      <c r="B46" s="19">
        <v>42</v>
      </c>
      <c r="C46" s="17"/>
      <c r="D46" s="4"/>
      <c r="E46" s="11"/>
      <c r="F46" s="10"/>
      <c r="G46" s="4"/>
      <c r="H46" s="11"/>
      <c r="I46" s="10"/>
      <c r="J46" s="4"/>
      <c r="K46" s="4"/>
      <c r="L46" s="11">
        <v>2230</v>
      </c>
    </row>
    <row r="47" spans="2:12" x14ac:dyDescent="0.25">
      <c r="B47" s="20">
        <v>43</v>
      </c>
      <c r="C47" s="16"/>
      <c r="D47" s="3"/>
      <c r="E47" s="9"/>
      <c r="F47" s="8"/>
      <c r="G47" s="3"/>
      <c r="H47" s="9"/>
      <c r="I47" s="8"/>
      <c r="J47" s="3"/>
      <c r="K47" s="3"/>
      <c r="L47" s="9">
        <v>2400</v>
      </c>
    </row>
    <row r="48" spans="2:12" x14ac:dyDescent="0.25">
      <c r="B48" s="19">
        <v>44</v>
      </c>
      <c r="C48" s="17"/>
      <c r="D48" s="4"/>
      <c r="E48" s="11"/>
      <c r="F48" s="10"/>
      <c r="G48" s="4"/>
      <c r="H48" s="11"/>
      <c r="I48" s="10"/>
      <c r="J48" s="4"/>
      <c r="K48" s="4"/>
      <c r="L48" s="11">
        <v>2620</v>
      </c>
    </row>
    <row r="49" spans="2:12" x14ac:dyDescent="0.25">
      <c r="B49" s="20">
        <v>45</v>
      </c>
      <c r="C49" s="16"/>
      <c r="D49" s="3"/>
      <c r="E49" s="9"/>
      <c r="F49" s="8"/>
      <c r="G49" s="3"/>
      <c r="H49" s="9"/>
      <c r="I49" s="8"/>
      <c r="J49" s="3"/>
      <c r="K49" s="3"/>
      <c r="L49" s="9">
        <v>2850</v>
      </c>
    </row>
    <row r="50" spans="2:12" x14ac:dyDescent="0.25">
      <c r="B50" s="19">
        <v>46</v>
      </c>
      <c r="C50" s="17"/>
      <c r="D50" s="4"/>
      <c r="E50" s="11"/>
      <c r="F50" s="10"/>
      <c r="G50" s="4"/>
      <c r="H50" s="11"/>
      <c r="I50" s="10"/>
      <c r="J50" s="4"/>
      <c r="K50" s="4"/>
      <c r="L50" s="11">
        <v>3100</v>
      </c>
    </row>
    <row r="51" spans="2:12" x14ac:dyDescent="0.25">
      <c r="B51" s="20">
        <v>47</v>
      </c>
      <c r="C51" s="16"/>
      <c r="D51" s="3"/>
      <c r="E51" s="9"/>
      <c r="F51" s="8"/>
      <c r="G51" s="3"/>
      <c r="H51" s="9"/>
      <c r="I51" s="8"/>
      <c r="J51" s="3"/>
      <c r="K51" s="3"/>
      <c r="L51" s="9">
        <v>3400</v>
      </c>
    </row>
    <row r="52" spans="2:12" x14ac:dyDescent="0.25">
      <c r="B52" s="19">
        <v>48</v>
      </c>
      <c r="C52" s="17"/>
      <c r="D52" s="4"/>
      <c r="E52" s="11"/>
      <c r="F52" s="10"/>
      <c r="G52" s="4"/>
      <c r="H52" s="11"/>
      <c r="I52" s="10"/>
      <c r="J52" s="4"/>
      <c r="K52" s="4"/>
      <c r="L52" s="11">
        <v>3700</v>
      </c>
    </row>
    <row r="53" spans="2:12" x14ac:dyDescent="0.25">
      <c r="B53" s="20">
        <v>49</v>
      </c>
      <c r="C53" s="16"/>
      <c r="D53" s="3"/>
      <c r="E53" s="9"/>
      <c r="F53" s="8"/>
      <c r="G53" s="3"/>
      <c r="H53" s="9"/>
      <c r="I53" s="8"/>
      <c r="J53" s="3"/>
      <c r="K53" s="3"/>
      <c r="L53" s="9">
        <v>4100</v>
      </c>
    </row>
    <row r="54" spans="2:12" ht="15.75" thickBot="1" x14ac:dyDescent="0.3">
      <c r="B54" s="21">
        <v>50</v>
      </c>
      <c r="C54" s="18"/>
      <c r="D54" s="13"/>
      <c r="E54" s="14"/>
      <c r="F54" s="12"/>
      <c r="G54" s="13"/>
      <c r="H54" s="14"/>
      <c r="I54" s="12"/>
      <c r="J54" s="13"/>
      <c r="K54" s="13"/>
      <c r="L54" s="14">
        <v>4500</v>
      </c>
    </row>
    <row r="56" spans="2:12" x14ac:dyDescent="0.25">
      <c r="B56" s="49" t="s">
        <v>45</v>
      </c>
    </row>
  </sheetData>
  <mergeCells count="7">
    <mergeCell ref="I4:L4"/>
    <mergeCell ref="I5:L5"/>
    <mergeCell ref="B4:B5"/>
    <mergeCell ref="C4:E4"/>
    <mergeCell ref="C5:E5"/>
    <mergeCell ref="F4:H4"/>
    <mergeCell ref="F5: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showGridLines="0" tabSelected="1" topLeftCell="A22" workbookViewId="0">
      <selection activeCell="O58" sqref="O58"/>
    </sheetView>
  </sheetViews>
  <sheetFormatPr defaultRowHeight="15" x14ac:dyDescent="0.25"/>
  <sheetData>
    <row r="1" spans="1:12" x14ac:dyDescent="0.25">
      <c r="A1" s="38"/>
    </row>
    <row r="3" spans="1:12" ht="15.75" thickBot="1" x14ac:dyDescent="0.3"/>
    <row r="4" spans="1:12" ht="15" customHeight="1" x14ac:dyDescent="0.25">
      <c r="B4" s="184"/>
      <c r="C4" s="178" t="s">
        <v>10</v>
      </c>
      <c r="D4" s="179"/>
      <c r="E4" s="180"/>
      <c r="F4" s="178" t="s">
        <v>10</v>
      </c>
      <c r="G4" s="179"/>
      <c r="H4" s="180"/>
      <c r="I4" s="178" t="s">
        <v>10</v>
      </c>
      <c r="J4" s="179"/>
      <c r="K4" s="179"/>
      <c r="L4" s="180"/>
    </row>
    <row r="5" spans="1:12" ht="15" customHeight="1" thickBot="1" x14ac:dyDescent="0.3">
      <c r="B5" s="185"/>
      <c r="C5" s="181" t="s">
        <v>15</v>
      </c>
      <c r="D5" s="182"/>
      <c r="E5" s="183"/>
      <c r="F5" s="181" t="s">
        <v>16</v>
      </c>
      <c r="G5" s="182"/>
      <c r="H5" s="183"/>
      <c r="I5" s="181" t="s">
        <v>17</v>
      </c>
      <c r="J5" s="182"/>
      <c r="K5" s="182"/>
      <c r="L5" s="183"/>
    </row>
    <row r="6" spans="1:12" x14ac:dyDescent="0.25">
      <c r="B6" s="19" t="s">
        <v>14</v>
      </c>
      <c r="C6" s="15" t="s">
        <v>18</v>
      </c>
      <c r="D6" s="5" t="s">
        <v>19</v>
      </c>
      <c r="E6" s="7" t="s">
        <v>20</v>
      </c>
      <c r="F6" s="6" t="s">
        <v>21</v>
      </c>
      <c r="G6" s="5" t="s">
        <v>22</v>
      </c>
      <c r="H6" s="7" t="s">
        <v>23</v>
      </c>
      <c r="I6" s="6" t="s">
        <v>23</v>
      </c>
      <c r="J6" s="5" t="s">
        <v>24</v>
      </c>
      <c r="K6" s="5" t="s">
        <v>25</v>
      </c>
      <c r="L6" s="7" t="s">
        <v>26</v>
      </c>
    </row>
    <row r="7" spans="1:12" x14ac:dyDescent="0.25">
      <c r="B7" s="19" t="s">
        <v>7</v>
      </c>
      <c r="C7" s="15"/>
      <c r="D7" s="5"/>
      <c r="E7" s="7"/>
      <c r="F7" s="6"/>
      <c r="G7" s="5"/>
      <c r="H7" s="7"/>
      <c r="I7" s="6"/>
      <c r="J7" s="5"/>
      <c r="K7" s="5"/>
      <c r="L7" s="7"/>
    </row>
    <row r="8" spans="1:12" s="34" customFormat="1" hidden="1" x14ac:dyDescent="0.25">
      <c r="A8" s="34" t="s">
        <v>36</v>
      </c>
      <c r="B8" s="29" t="s">
        <v>37</v>
      </c>
      <c r="C8" s="30">
        <v>2</v>
      </c>
      <c r="D8" s="31">
        <v>3</v>
      </c>
      <c r="E8" s="32">
        <v>4</v>
      </c>
      <c r="F8" s="33">
        <v>5</v>
      </c>
      <c r="G8" s="31">
        <v>6</v>
      </c>
      <c r="H8" s="32">
        <v>7</v>
      </c>
      <c r="I8" s="33">
        <v>8</v>
      </c>
      <c r="J8" s="31">
        <v>9</v>
      </c>
      <c r="K8" s="31">
        <v>10</v>
      </c>
      <c r="L8" s="32">
        <v>11</v>
      </c>
    </row>
    <row r="9" spans="1:12" x14ac:dyDescent="0.25">
      <c r="B9" s="20">
        <v>8</v>
      </c>
      <c r="C9" s="16">
        <v>50</v>
      </c>
      <c r="D9" s="3"/>
      <c r="E9" s="9"/>
      <c r="F9" s="8"/>
      <c r="G9" s="3"/>
      <c r="H9" s="9"/>
      <c r="I9" s="8"/>
      <c r="J9" s="3"/>
      <c r="K9" s="3"/>
      <c r="L9" s="9"/>
    </row>
    <row r="10" spans="1:12" x14ac:dyDescent="0.25">
      <c r="B10" s="20">
        <v>9</v>
      </c>
      <c r="C10" s="16">
        <v>54</v>
      </c>
      <c r="D10" s="3"/>
      <c r="E10" s="9"/>
      <c r="F10" s="8"/>
      <c r="G10" s="3"/>
      <c r="H10" s="9"/>
      <c r="I10" s="8"/>
      <c r="J10" s="3"/>
      <c r="K10" s="3"/>
      <c r="L10" s="9"/>
    </row>
    <row r="11" spans="1:12" x14ac:dyDescent="0.25">
      <c r="B11" s="19">
        <v>10</v>
      </c>
      <c r="C11" s="17">
        <v>58</v>
      </c>
      <c r="D11" s="4"/>
      <c r="E11" s="11"/>
      <c r="F11" s="10"/>
      <c r="G11" s="4"/>
      <c r="H11" s="11"/>
      <c r="I11" s="10">
        <v>300</v>
      </c>
      <c r="J11" s="4"/>
      <c r="K11" s="4"/>
      <c r="L11" s="11"/>
    </row>
    <row r="12" spans="1:12" x14ac:dyDescent="0.25">
      <c r="B12" s="20">
        <v>11</v>
      </c>
      <c r="C12" s="16">
        <v>62</v>
      </c>
      <c r="D12" s="3"/>
      <c r="E12" s="9"/>
      <c r="F12" s="8">
        <v>95</v>
      </c>
      <c r="G12" s="3"/>
      <c r="H12" s="9"/>
      <c r="I12" s="8"/>
      <c r="J12" s="3"/>
      <c r="K12" s="3"/>
      <c r="L12" s="9"/>
    </row>
    <row r="13" spans="1:12" x14ac:dyDescent="0.25">
      <c r="B13" s="19">
        <v>12</v>
      </c>
      <c r="C13" s="17">
        <v>66</v>
      </c>
      <c r="D13" s="4"/>
      <c r="E13" s="11"/>
      <c r="F13" s="10">
        <v>110</v>
      </c>
      <c r="G13" s="4"/>
      <c r="H13" s="11"/>
      <c r="I13" s="10">
        <v>360</v>
      </c>
      <c r="J13" s="4">
        <v>200</v>
      </c>
      <c r="K13" s="4"/>
      <c r="L13" s="11"/>
    </row>
    <row r="14" spans="1:12" x14ac:dyDescent="0.25">
      <c r="B14" s="20">
        <v>13</v>
      </c>
      <c r="C14" s="16">
        <v>70</v>
      </c>
      <c r="D14" s="3"/>
      <c r="E14" s="9"/>
      <c r="F14" s="8">
        <v>120</v>
      </c>
      <c r="G14" s="3"/>
      <c r="H14" s="9"/>
      <c r="I14" s="8"/>
      <c r="J14" s="3">
        <v>220</v>
      </c>
      <c r="K14" s="3"/>
      <c r="L14" s="9"/>
    </row>
    <row r="15" spans="1:12" x14ac:dyDescent="0.25">
      <c r="B15" s="19">
        <v>14</v>
      </c>
      <c r="C15" s="17">
        <v>75</v>
      </c>
      <c r="D15" s="4"/>
      <c r="E15" s="11"/>
      <c r="F15" s="10">
        <v>140</v>
      </c>
      <c r="G15" s="4"/>
      <c r="H15" s="11"/>
      <c r="I15" s="10"/>
      <c r="J15" s="4">
        <v>240</v>
      </c>
      <c r="K15" s="4"/>
      <c r="L15" s="11"/>
    </row>
    <row r="16" spans="1:12" x14ac:dyDescent="0.25">
      <c r="B16" s="20">
        <v>15</v>
      </c>
      <c r="C16" s="16">
        <v>82</v>
      </c>
      <c r="D16" s="3">
        <v>70</v>
      </c>
      <c r="E16" s="9"/>
      <c r="F16" s="8">
        <v>150</v>
      </c>
      <c r="G16" s="3"/>
      <c r="H16" s="9"/>
      <c r="I16" s="8">
        <v>480</v>
      </c>
      <c r="J16" s="3">
        <v>270</v>
      </c>
      <c r="K16" s="3"/>
      <c r="L16" s="9"/>
    </row>
    <row r="17" spans="2:12" x14ac:dyDescent="0.25">
      <c r="B17" s="19">
        <v>16</v>
      </c>
      <c r="C17" s="17">
        <v>90</v>
      </c>
      <c r="D17" s="4">
        <v>75</v>
      </c>
      <c r="E17" s="11"/>
      <c r="F17" s="10">
        <v>170</v>
      </c>
      <c r="G17" s="4"/>
      <c r="H17" s="11"/>
      <c r="I17" s="10"/>
      <c r="J17" s="4">
        <v>300</v>
      </c>
      <c r="K17" s="4"/>
      <c r="L17" s="11"/>
    </row>
    <row r="18" spans="2:12" x14ac:dyDescent="0.25">
      <c r="B18" s="20">
        <v>17</v>
      </c>
      <c r="C18" s="16">
        <v>100</v>
      </c>
      <c r="D18" s="3">
        <v>82</v>
      </c>
      <c r="E18" s="9"/>
      <c r="F18" s="8">
        <v>180</v>
      </c>
      <c r="G18" s="3"/>
      <c r="H18" s="9"/>
      <c r="I18" s="8">
        <v>550</v>
      </c>
      <c r="J18" s="3">
        <v>330</v>
      </c>
      <c r="K18" s="3"/>
      <c r="L18" s="9"/>
    </row>
    <row r="19" spans="2:12" x14ac:dyDescent="0.25">
      <c r="B19" s="19">
        <v>18</v>
      </c>
      <c r="C19" s="17">
        <v>110</v>
      </c>
      <c r="D19" s="4">
        <v>90</v>
      </c>
      <c r="E19" s="11"/>
      <c r="F19" s="10">
        <v>200</v>
      </c>
      <c r="G19" s="4"/>
      <c r="H19" s="11"/>
      <c r="I19" s="10"/>
      <c r="J19" s="4">
        <v>360</v>
      </c>
      <c r="K19" s="4"/>
      <c r="L19" s="11"/>
    </row>
    <row r="20" spans="2:12" x14ac:dyDescent="0.25">
      <c r="B20" s="20">
        <v>19</v>
      </c>
      <c r="C20" s="16">
        <v>120</v>
      </c>
      <c r="D20" s="3">
        <v>100</v>
      </c>
      <c r="E20" s="9"/>
      <c r="F20" s="8">
        <v>220</v>
      </c>
      <c r="G20" s="3"/>
      <c r="H20" s="9"/>
      <c r="I20" s="8">
        <v>630</v>
      </c>
      <c r="J20" s="3">
        <v>400</v>
      </c>
      <c r="K20" s="3"/>
      <c r="L20" s="9"/>
    </row>
    <row r="21" spans="2:12" x14ac:dyDescent="0.25">
      <c r="B21" s="19">
        <v>20</v>
      </c>
      <c r="C21" s="17">
        <v>130</v>
      </c>
      <c r="D21" s="4">
        <v>110</v>
      </c>
      <c r="E21" s="11"/>
      <c r="F21" s="10">
        <v>240</v>
      </c>
      <c r="G21" s="4"/>
      <c r="H21" s="11"/>
      <c r="I21" s="10"/>
      <c r="J21" s="4">
        <v>430</v>
      </c>
      <c r="K21" s="4"/>
      <c r="L21" s="11"/>
    </row>
    <row r="22" spans="2:12" x14ac:dyDescent="0.25">
      <c r="B22" s="20">
        <v>21</v>
      </c>
      <c r="C22" s="16">
        <v>140</v>
      </c>
      <c r="D22" s="3">
        <v>120</v>
      </c>
      <c r="E22" s="9">
        <v>70</v>
      </c>
      <c r="F22" s="8">
        <v>260</v>
      </c>
      <c r="G22" s="3"/>
      <c r="H22" s="9"/>
      <c r="I22" s="8"/>
      <c r="J22" s="3">
        <v>460</v>
      </c>
      <c r="K22" s="3"/>
      <c r="L22" s="9"/>
    </row>
    <row r="23" spans="2:12" x14ac:dyDescent="0.25">
      <c r="B23" s="19">
        <v>22</v>
      </c>
      <c r="C23" s="17"/>
      <c r="D23" s="4">
        <v>130</v>
      </c>
      <c r="E23" s="11">
        <v>76</v>
      </c>
      <c r="F23" s="10">
        <v>280</v>
      </c>
      <c r="G23" s="4">
        <v>160</v>
      </c>
      <c r="H23" s="11"/>
      <c r="I23" s="10">
        <v>790</v>
      </c>
      <c r="J23" s="4">
        <v>500</v>
      </c>
      <c r="K23" s="4"/>
      <c r="L23" s="11"/>
    </row>
    <row r="24" spans="2:12" x14ac:dyDescent="0.25">
      <c r="B24" s="20">
        <v>23</v>
      </c>
      <c r="C24" s="16"/>
      <c r="D24" s="3">
        <v>140</v>
      </c>
      <c r="E24" s="9">
        <v>83</v>
      </c>
      <c r="F24" s="8">
        <v>310</v>
      </c>
      <c r="G24" s="3">
        <v>180</v>
      </c>
      <c r="H24" s="9"/>
      <c r="I24" s="8"/>
      <c r="J24" s="3">
        <v>540</v>
      </c>
      <c r="K24" s="3"/>
      <c r="L24" s="9"/>
    </row>
    <row r="25" spans="2:12" x14ac:dyDescent="0.25">
      <c r="B25" s="19">
        <v>24</v>
      </c>
      <c r="C25" s="17"/>
      <c r="D25" s="4">
        <v>150</v>
      </c>
      <c r="E25" s="11">
        <v>90</v>
      </c>
      <c r="F25" s="10">
        <v>340</v>
      </c>
      <c r="G25" s="4">
        <v>200</v>
      </c>
      <c r="H25" s="11"/>
      <c r="I25" s="10">
        <v>900</v>
      </c>
      <c r="J25" s="4">
        <v>590</v>
      </c>
      <c r="K25" s="4"/>
      <c r="L25" s="11"/>
    </row>
    <row r="26" spans="2:12" x14ac:dyDescent="0.25">
      <c r="B26" s="20">
        <v>25</v>
      </c>
      <c r="C26" s="16"/>
      <c r="D26" s="3">
        <v>160</v>
      </c>
      <c r="E26" s="9">
        <v>100</v>
      </c>
      <c r="F26" s="8">
        <v>370</v>
      </c>
      <c r="G26" s="3">
        <v>210</v>
      </c>
      <c r="H26" s="9"/>
      <c r="I26" s="8"/>
      <c r="J26" s="3">
        <v>630</v>
      </c>
      <c r="K26" s="3">
        <v>370</v>
      </c>
      <c r="L26" s="9"/>
    </row>
    <row r="27" spans="2:12" x14ac:dyDescent="0.25">
      <c r="B27" s="19">
        <v>26</v>
      </c>
      <c r="C27" s="17"/>
      <c r="D27" s="4">
        <v>170</v>
      </c>
      <c r="E27" s="11">
        <v>115</v>
      </c>
      <c r="F27" s="10">
        <v>400</v>
      </c>
      <c r="G27" s="4">
        <v>230</v>
      </c>
      <c r="H27" s="11"/>
      <c r="I27" s="10">
        <v>1100</v>
      </c>
      <c r="J27" s="4">
        <v>680</v>
      </c>
      <c r="K27" s="4">
        <v>410</v>
      </c>
      <c r="L27" s="11"/>
    </row>
    <row r="28" spans="2:12" x14ac:dyDescent="0.25">
      <c r="B28" s="20">
        <v>27</v>
      </c>
      <c r="C28" s="16"/>
      <c r="D28" s="3">
        <v>180</v>
      </c>
      <c r="E28" s="9">
        <v>127</v>
      </c>
      <c r="F28" s="8">
        <v>440</v>
      </c>
      <c r="G28" s="3">
        <v>250</v>
      </c>
      <c r="H28" s="9"/>
      <c r="I28" s="8"/>
      <c r="J28" s="3">
        <v>720</v>
      </c>
      <c r="K28" s="3">
        <v>440</v>
      </c>
      <c r="L28" s="9"/>
    </row>
    <row r="29" spans="2:12" x14ac:dyDescent="0.25">
      <c r="B29" s="19">
        <v>28</v>
      </c>
      <c r="C29" s="17"/>
      <c r="D29" s="4">
        <v>190</v>
      </c>
      <c r="E29" s="11">
        <v>140</v>
      </c>
      <c r="F29" s="10">
        <v>490</v>
      </c>
      <c r="G29" s="4">
        <v>270</v>
      </c>
      <c r="H29" s="11"/>
      <c r="I29" s="10"/>
      <c r="J29" s="4">
        <v>770</v>
      </c>
      <c r="K29" s="4">
        <v>480</v>
      </c>
      <c r="L29" s="11"/>
    </row>
    <row r="30" spans="2:12" x14ac:dyDescent="0.25">
      <c r="B30" s="20">
        <v>29</v>
      </c>
      <c r="C30" s="16"/>
      <c r="D30" s="3">
        <v>210</v>
      </c>
      <c r="E30" s="9">
        <v>150</v>
      </c>
      <c r="F30" s="8">
        <v>550</v>
      </c>
      <c r="G30" s="3">
        <v>290</v>
      </c>
      <c r="H30" s="9"/>
      <c r="I30" s="8"/>
      <c r="J30" s="3">
        <v>850</v>
      </c>
      <c r="K30" s="3">
        <v>520</v>
      </c>
      <c r="L30" s="9"/>
    </row>
    <row r="31" spans="2:12" x14ac:dyDescent="0.25">
      <c r="B31" s="19">
        <v>30</v>
      </c>
      <c r="C31" s="17"/>
      <c r="D31" s="4">
        <v>220</v>
      </c>
      <c r="E31" s="11">
        <v>160</v>
      </c>
      <c r="F31" s="10">
        <v>620</v>
      </c>
      <c r="G31" s="4">
        <v>320</v>
      </c>
      <c r="H31" s="11">
        <v>220</v>
      </c>
      <c r="I31" s="10"/>
      <c r="J31" s="4">
        <v>920</v>
      </c>
      <c r="K31" s="4">
        <v>560</v>
      </c>
      <c r="L31" s="11"/>
    </row>
    <row r="32" spans="2:12" x14ac:dyDescent="0.25">
      <c r="B32" s="20">
        <v>31</v>
      </c>
      <c r="C32" s="16"/>
      <c r="D32" s="3">
        <v>235</v>
      </c>
      <c r="E32" s="9">
        <v>170</v>
      </c>
      <c r="F32" s="8"/>
      <c r="G32" s="3">
        <v>350</v>
      </c>
      <c r="H32" s="9">
        <v>240</v>
      </c>
      <c r="I32" s="8"/>
      <c r="J32" s="3">
        <v>1000</v>
      </c>
      <c r="K32" s="3">
        <v>590</v>
      </c>
      <c r="L32" s="9"/>
    </row>
    <row r="33" spans="2:12" x14ac:dyDescent="0.25">
      <c r="B33" s="19">
        <v>32</v>
      </c>
      <c r="C33" s="17"/>
      <c r="D33" s="4">
        <v>250</v>
      </c>
      <c r="E33" s="11">
        <v>180</v>
      </c>
      <c r="F33" s="10"/>
      <c r="G33" s="4">
        <v>380</v>
      </c>
      <c r="H33" s="11">
        <v>270</v>
      </c>
      <c r="I33" s="10"/>
      <c r="J33" s="4">
        <v>1100</v>
      </c>
      <c r="K33" s="4">
        <v>630</v>
      </c>
      <c r="L33" s="11"/>
    </row>
    <row r="34" spans="2:12" x14ac:dyDescent="0.25">
      <c r="B34" s="20">
        <v>33</v>
      </c>
      <c r="C34" s="16"/>
      <c r="D34" s="3"/>
      <c r="E34" s="9">
        <v>195</v>
      </c>
      <c r="F34" s="8"/>
      <c r="G34" s="3">
        <v>420</v>
      </c>
      <c r="H34" s="9">
        <v>290</v>
      </c>
      <c r="I34" s="8"/>
      <c r="J34" s="3">
        <v>1240</v>
      </c>
      <c r="K34" s="3">
        <v>700</v>
      </c>
      <c r="L34" s="9"/>
    </row>
    <row r="35" spans="2:12" x14ac:dyDescent="0.25">
      <c r="B35" s="19">
        <v>34</v>
      </c>
      <c r="C35" s="17"/>
      <c r="D35" s="4"/>
      <c r="E35" s="11">
        <v>210</v>
      </c>
      <c r="F35" s="10"/>
      <c r="G35" s="4">
        <v>460</v>
      </c>
      <c r="H35" s="11">
        <v>320</v>
      </c>
      <c r="I35" s="10"/>
      <c r="J35" s="4">
        <v>1400</v>
      </c>
      <c r="K35" s="4">
        <v>750</v>
      </c>
      <c r="L35" s="11">
        <v>400</v>
      </c>
    </row>
    <row r="36" spans="2:12" x14ac:dyDescent="0.25">
      <c r="B36" s="20">
        <v>35</v>
      </c>
      <c r="C36" s="16"/>
      <c r="D36" s="3"/>
      <c r="E36" s="9">
        <v>225</v>
      </c>
      <c r="F36" s="8"/>
      <c r="G36" s="3">
        <v>510</v>
      </c>
      <c r="H36" s="9">
        <v>350</v>
      </c>
      <c r="I36" s="8"/>
      <c r="J36" s="3"/>
      <c r="K36" s="3">
        <v>810</v>
      </c>
      <c r="L36" s="9">
        <v>430</v>
      </c>
    </row>
    <row r="37" spans="2:12" x14ac:dyDescent="0.25">
      <c r="B37" s="19">
        <v>36</v>
      </c>
      <c r="C37" s="17"/>
      <c r="D37" s="4"/>
      <c r="E37" s="11">
        <v>240</v>
      </c>
      <c r="F37" s="10"/>
      <c r="G37" s="4">
        <v>570</v>
      </c>
      <c r="H37" s="11">
        <v>370</v>
      </c>
      <c r="I37" s="10"/>
      <c r="J37" s="4"/>
      <c r="K37" s="4">
        <v>870</v>
      </c>
      <c r="L37" s="11">
        <v>460</v>
      </c>
    </row>
    <row r="38" spans="2:12" x14ac:dyDescent="0.25">
      <c r="B38" s="20">
        <v>37</v>
      </c>
      <c r="C38" s="16"/>
      <c r="D38" s="3"/>
      <c r="E38" s="9">
        <v>260</v>
      </c>
      <c r="F38" s="8"/>
      <c r="G38" s="3">
        <v>640</v>
      </c>
      <c r="H38" s="9">
        <v>400</v>
      </c>
      <c r="I38" s="8"/>
      <c r="J38" s="3"/>
      <c r="K38" s="3">
        <v>940</v>
      </c>
      <c r="L38" s="9">
        <v>500</v>
      </c>
    </row>
    <row r="39" spans="2:12" x14ac:dyDescent="0.25">
      <c r="B39" s="19">
        <v>38</v>
      </c>
      <c r="C39" s="17"/>
      <c r="D39" s="4"/>
      <c r="E39" s="11">
        <v>280</v>
      </c>
      <c r="F39" s="10"/>
      <c r="G39" s="4">
        <v>730</v>
      </c>
      <c r="H39" s="11">
        <v>440</v>
      </c>
      <c r="I39" s="10"/>
      <c r="J39" s="4"/>
      <c r="K39" s="4">
        <v>1020</v>
      </c>
      <c r="L39" s="11">
        <v>540</v>
      </c>
    </row>
    <row r="40" spans="2:12" x14ac:dyDescent="0.25">
      <c r="B40" s="20">
        <v>39</v>
      </c>
      <c r="C40" s="16"/>
      <c r="D40" s="3"/>
      <c r="E40" s="9">
        <v>320</v>
      </c>
      <c r="F40" s="8"/>
      <c r="G40" s="3"/>
      <c r="H40" s="9">
        <v>470</v>
      </c>
      <c r="I40" s="8"/>
      <c r="J40" s="3"/>
      <c r="K40" s="3">
        <v>1100</v>
      </c>
      <c r="L40" s="9">
        <v>590</v>
      </c>
    </row>
    <row r="41" spans="2:12" x14ac:dyDescent="0.25">
      <c r="B41" s="19">
        <v>40</v>
      </c>
      <c r="C41" s="17"/>
      <c r="D41" s="4"/>
      <c r="E41" s="11">
        <v>360</v>
      </c>
      <c r="F41" s="10"/>
      <c r="G41" s="4"/>
      <c r="H41" s="11">
        <v>510</v>
      </c>
      <c r="I41" s="10"/>
      <c r="J41" s="4"/>
      <c r="K41" s="4">
        <v>1190</v>
      </c>
      <c r="L41" s="11">
        <v>630</v>
      </c>
    </row>
    <row r="42" spans="2:12" x14ac:dyDescent="0.25">
      <c r="B42" s="20">
        <v>41</v>
      </c>
      <c r="C42" s="16"/>
      <c r="D42" s="3"/>
      <c r="E42" s="9">
        <v>610</v>
      </c>
      <c r="F42" s="8"/>
      <c r="G42" s="3"/>
      <c r="H42" s="9">
        <v>550</v>
      </c>
      <c r="I42" s="8"/>
      <c r="J42" s="3"/>
      <c r="K42" s="3">
        <v>1300</v>
      </c>
      <c r="L42" s="9">
        <v>680</v>
      </c>
    </row>
    <row r="43" spans="2:12" x14ac:dyDescent="0.25">
      <c r="B43" s="19">
        <v>42</v>
      </c>
      <c r="C43" s="17"/>
      <c r="D43" s="4"/>
      <c r="E43" s="11">
        <v>700</v>
      </c>
      <c r="F43" s="10"/>
      <c r="G43" s="4"/>
      <c r="H43" s="11">
        <v>620</v>
      </c>
      <c r="I43" s="10"/>
      <c r="J43" s="4"/>
      <c r="K43" s="4">
        <v>1420</v>
      </c>
      <c r="L43" s="11">
        <v>730</v>
      </c>
    </row>
    <row r="44" spans="2:12" x14ac:dyDescent="0.25">
      <c r="B44" s="20">
        <v>43</v>
      </c>
      <c r="C44" s="16"/>
      <c r="D44" s="3"/>
      <c r="E44" s="9">
        <v>800</v>
      </c>
      <c r="F44" s="8"/>
      <c r="G44" s="3"/>
      <c r="H44" s="9"/>
      <c r="I44" s="8"/>
      <c r="J44" s="3"/>
      <c r="K44" s="3">
        <v>1600</v>
      </c>
      <c r="L44" s="9">
        <v>790</v>
      </c>
    </row>
    <row r="45" spans="2:12" x14ac:dyDescent="0.25">
      <c r="B45" s="19">
        <v>44</v>
      </c>
      <c r="C45" s="17"/>
      <c r="D45" s="4"/>
      <c r="E45" s="11"/>
      <c r="F45" s="10"/>
      <c r="G45" s="4"/>
      <c r="H45" s="11"/>
      <c r="I45" s="10"/>
      <c r="J45" s="4"/>
      <c r="K45" s="4"/>
      <c r="L45" s="11">
        <v>870</v>
      </c>
    </row>
    <row r="46" spans="2:12" x14ac:dyDescent="0.25">
      <c r="B46" s="20">
        <v>45</v>
      </c>
      <c r="C46" s="16"/>
      <c r="D46" s="3"/>
      <c r="E46" s="9"/>
      <c r="F46" s="8"/>
      <c r="G46" s="3"/>
      <c r="H46" s="9"/>
      <c r="I46" s="8"/>
      <c r="J46" s="3"/>
      <c r="K46" s="3"/>
      <c r="L46" s="9">
        <v>940</v>
      </c>
    </row>
    <row r="47" spans="2:12" x14ac:dyDescent="0.25">
      <c r="B47" s="19">
        <v>46</v>
      </c>
      <c r="C47" s="17"/>
      <c r="D47" s="4"/>
      <c r="E47" s="11"/>
      <c r="F47" s="10"/>
      <c r="G47" s="4"/>
      <c r="H47" s="11"/>
      <c r="I47" s="10"/>
      <c r="J47" s="4"/>
      <c r="K47" s="4"/>
      <c r="L47" s="11">
        <v>1000</v>
      </c>
    </row>
    <row r="48" spans="2:12" x14ac:dyDescent="0.25">
      <c r="B48" s="20">
        <v>47</v>
      </c>
      <c r="C48" s="16"/>
      <c r="D48" s="3"/>
      <c r="E48" s="9"/>
      <c r="F48" s="8"/>
      <c r="G48" s="3"/>
      <c r="H48" s="9"/>
      <c r="I48" s="8"/>
      <c r="J48" s="3"/>
      <c r="K48" s="3"/>
      <c r="L48" s="9">
        <v>1090</v>
      </c>
    </row>
    <row r="49" spans="2:12" x14ac:dyDescent="0.25">
      <c r="B49" s="19">
        <v>48</v>
      </c>
      <c r="C49" s="17"/>
      <c r="D49" s="4"/>
      <c r="E49" s="11"/>
      <c r="F49" s="10"/>
      <c r="G49" s="4"/>
      <c r="H49" s="11"/>
      <c r="I49" s="10"/>
      <c r="J49" s="4"/>
      <c r="K49" s="4"/>
      <c r="L49" s="11">
        <v>1180</v>
      </c>
    </row>
    <row r="50" spans="2:12" x14ac:dyDescent="0.25">
      <c r="B50" s="20">
        <v>49</v>
      </c>
      <c r="C50" s="16"/>
      <c r="D50" s="3"/>
      <c r="E50" s="9"/>
      <c r="F50" s="8"/>
      <c r="G50" s="3"/>
      <c r="H50" s="9"/>
      <c r="I50" s="8"/>
      <c r="J50" s="3"/>
      <c r="K50" s="3"/>
      <c r="L50" s="9">
        <v>1270</v>
      </c>
    </row>
    <row r="51" spans="2:12" x14ac:dyDescent="0.25">
      <c r="B51" s="19">
        <v>50</v>
      </c>
      <c r="C51" s="17"/>
      <c r="D51" s="4"/>
      <c r="E51" s="11"/>
      <c r="F51" s="10"/>
      <c r="G51" s="4"/>
      <c r="H51" s="11"/>
      <c r="I51" s="10"/>
      <c r="J51" s="4"/>
      <c r="K51" s="4"/>
      <c r="L51" s="11">
        <v>1360</v>
      </c>
    </row>
    <row r="52" spans="2:12" x14ac:dyDescent="0.25">
      <c r="B52" s="20">
        <v>51</v>
      </c>
      <c r="C52" s="16"/>
      <c r="D52" s="3"/>
      <c r="E52" s="9"/>
      <c r="F52" s="8"/>
      <c r="G52" s="3"/>
      <c r="H52" s="9"/>
      <c r="I52" s="8"/>
      <c r="J52" s="3"/>
      <c r="K52" s="3"/>
      <c r="L52" s="9">
        <v>1500</v>
      </c>
    </row>
    <row r="53" spans="2:12" x14ac:dyDescent="0.25">
      <c r="B53" s="19">
        <v>52</v>
      </c>
      <c r="C53" s="17"/>
      <c r="D53" s="4"/>
      <c r="E53" s="11"/>
      <c r="F53" s="10"/>
      <c r="G53" s="4"/>
      <c r="H53" s="11"/>
      <c r="I53" s="10"/>
      <c r="J53" s="4"/>
      <c r="K53" s="4"/>
      <c r="L53" s="11">
        <v>1640</v>
      </c>
    </row>
    <row r="54" spans="2:12" x14ac:dyDescent="0.25">
      <c r="B54" s="20">
        <v>53</v>
      </c>
      <c r="C54" s="16"/>
      <c r="D54" s="3"/>
      <c r="E54" s="9"/>
      <c r="F54" s="8"/>
      <c r="G54" s="3"/>
      <c r="H54" s="9"/>
      <c r="I54" s="8"/>
      <c r="J54" s="3"/>
      <c r="K54" s="3"/>
      <c r="L54" s="9">
        <v>1800</v>
      </c>
    </row>
  </sheetData>
  <mergeCells count="7">
    <mergeCell ref="I4:L4"/>
    <mergeCell ref="I5:L5"/>
    <mergeCell ref="B4:B5"/>
    <mergeCell ref="C4:E4"/>
    <mergeCell ref="C5:E5"/>
    <mergeCell ref="F4:H4"/>
    <mergeCell ref="F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38"/>
  <sheetViews>
    <sheetView showGridLines="0" topLeftCell="A19" zoomScale="115" zoomScaleNormal="115" workbookViewId="0">
      <selection activeCell="M3" sqref="M3"/>
    </sheetView>
  </sheetViews>
  <sheetFormatPr defaultRowHeight="15" x14ac:dyDescent="0.25"/>
  <cols>
    <col min="3" max="3" width="19.5703125" customWidth="1"/>
    <col min="4" max="4" width="10.5703125" customWidth="1"/>
    <col min="5" max="8" width="10.140625" bestFit="1" customWidth="1"/>
    <col min="9" max="9" width="16" bestFit="1" customWidth="1"/>
    <col min="10" max="10" width="14.140625" bestFit="1" customWidth="1"/>
    <col min="11" max="11" width="18.140625" customWidth="1"/>
    <col min="12" max="14" width="10.140625" bestFit="1" customWidth="1"/>
  </cols>
  <sheetData>
    <row r="2" spans="1:18" s="34" customFormat="1" x14ac:dyDescent="0.25">
      <c r="A2" s="34" t="s">
        <v>36</v>
      </c>
      <c r="C2" s="100" t="s">
        <v>120</v>
      </c>
      <c r="D2" s="101">
        <f t="shared" ref="D2:N2" si="0">VLOOKUP(D3,wire_rope_specs_imperial,3,FALSE)*Strength_Factor</f>
        <v>1320</v>
      </c>
      <c r="E2" s="101">
        <f t="shared" si="0"/>
        <v>1908</v>
      </c>
      <c r="F2" s="101">
        <f t="shared" si="0"/>
        <v>3384</v>
      </c>
      <c r="G2" s="101">
        <f t="shared" si="0"/>
        <v>4764</v>
      </c>
      <c r="H2" s="101">
        <f t="shared" si="0"/>
        <v>6528</v>
      </c>
      <c r="I2" s="101">
        <f t="shared" si="0"/>
        <v>8520</v>
      </c>
      <c r="J2" s="101">
        <f t="shared" si="0"/>
        <v>9360</v>
      </c>
      <c r="K2" s="101">
        <f t="shared" si="0"/>
        <v>12360</v>
      </c>
      <c r="L2" s="101">
        <f t="shared" si="0"/>
        <v>17400</v>
      </c>
      <c r="M2" s="101">
        <f t="shared" si="0"/>
        <v>23208</v>
      </c>
      <c r="N2" s="101">
        <f t="shared" si="0"/>
        <v>30816</v>
      </c>
      <c r="O2" s="102"/>
    </row>
    <row r="3" spans="1:18" s="34" customFormat="1" x14ac:dyDescent="0.25">
      <c r="A3" s="34" t="s">
        <v>36</v>
      </c>
      <c r="C3" s="100" t="s">
        <v>118</v>
      </c>
      <c r="D3" s="101" t="s">
        <v>27</v>
      </c>
      <c r="E3" s="101" t="s">
        <v>33</v>
      </c>
      <c r="F3" s="101" t="s">
        <v>28</v>
      </c>
      <c r="G3" s="101" t="s">
        <v>29</v>
      </c>
      <c r="H3" s="101" t="s">
        <v>30</v>
      </c>
      <c r="I3" s="101" t="s">
        <v>31</v>
      </c>
      <c r="J3" s="103" t="s">
        <v>32</v>
      </c>
      <c r="K3" s="103" t="s">
        <v>34</v>
      </c>
      <c r="L3" s="104" t="s">
        <v>35</v>
      </c>
      <c r="M3" s="104" t="s">
        <v>49</v>
      </c>
      <c r="N3" s="104" t="s">
        <v>50</v>
      </c>
      <c r="O3" s="102"/>
    </row>
    <row r="4" spans="1:18" s="34" customFormat="1" x14ac:dyDescent="0.25">
      <c r="A4" s="34" t="s">
        <v>36</v>
      </c>
      <c r="C4" s="101" t="s">
        <v>42</v>
      </c>
      <c r="D4" s="101" t="str">
        <f>E3</f>
        <v>1/8</v>
      </c>
      <c r="E4" s="101" t="str">
        <f t="shared" ref="E4:M4" si="1">F3</f>
        <v>5/32</v>
      </c>
      <c r="F4" s="101" t="str">
        <f t="shared" si="1"/>
        <v>3/16</v>
      </c>
      <c r="G4" s="101" t="str">
        <f t="shared" si="1"/>
        <v>7/32</v>
      </c>
      <c r="H4" s="101" t="str">
        <f t="shared" si="1"/>
        <v>1/4</v>
      </c>
      <c r="I4" s="101" t="str">
        <f t="shared" si="1"/>
        <v>9/32</v>
      </c>
      <c r="J4" s="101" t="str">
        <f t="shared" si="1"/>
        <v>5/16</v>
      </c>
      <c r="K4" s="101" t="str">
        <f t="shared" si="1"/>
        <v>3/8</v>
      </c>
      <c r="L4" s="101" t="str">
        <f t="shared" si="1"/>
        <v>7/16</v>
      </c>
      <c r="M4" s="101" t="str">
        <f t="shared" si="1"/>
        <v>1/2</v>
      </c>
    </row>
    <row r="5" spans="1:18" s="34" customFormat="1" x14ac:dyDescent="0.25">
      <c r="A5" s="34" t="s">
        <v>36</v>
      </c>
      <c r="C5" s="101" t="s">
        <v>42</v>
      </c>
      <c r="D5" s="101">
        <f>E2</f>
        <v>1908</v>
      </c>
      <c r="E5" s="101">
        <f t="shared" ref="E5:M5" si="2">F2</f>
        <v>3384</v>
      </c>
      <c r="F5" s="101">
        <f t="shared" si="2"/>
        <v>4764</v>
      </c>
      <c r="G5" s="101">
        <f t="shared" si="2"/>
        <v>6528</v>
      </c>
      <c r="H5" s="101">
        <f t="shared" si="2"/>
        <v>8520</v>
      </c>
      <c r="I5" s="101">
        <f t="shared" si="2"/>
        <v>9360</v>
      </c>
      <c r="J5" s="101">
        <f t="shared" si="2"/>
        <v>12360</v>
      </c>
      <c r="K5" s="101">
        <f t="shared" si="2"/>
        <v>17400</v>
      </c>
      <c r="L5" s="101">
        <f t="shared" si="2"/>
        <v>23208</v>
      </c>
      <c r="M5" s="101">
        <f t="shared" si="2"/>
        <v>30816</v>
      </c>
    </row>
    <row r="6" spans="1:18" s="34" customFormat="1" x14ac:dyDescent="0.25">
      <c r="A6" s="34" t="s">
        <v>36</v>
      </c>
    </row>
    <row r="7" spans="1:18" s="34" customFormat="1" x14ac:dyDescent="0.25">
      <c r="A7" s="34" t="s">
        <v>36</v>
      </c>
      <c r="C7" s="100" t="s">
        <v>120</v>
      </c>
      <c r="D7" s="101">
        <f t="shared" ref="D7:J7" si="3">VLOOKUP(D8,wire_rope_specs_metric,4,FALSE)*Strength_Factor</f>
        <v>7620</v>
      </c>
      <c r="E7" s="101">
        <f t="shared" si="3"/>
        <v>9360</v>
      </c>
      <c r="F7" s="101">
        <f t="shared" si="3"/>
        <v>12360</v>
      </c>
      <c r="G7" s="101">
        <f t="shared" si="3"/>
        <v>19200</v>
      </c>
      <c r="H7" s="101">
        <f t="shared" si="3"/>
        <v>23208</v>
      </c>
      <c r="I7" s="101">
        <f t="shared" si="3"/>
        <v>27516</v>
      </c>
      <c r="J7" s="101">
        <f t="shared" si="3"/>
        <v>37512</v>
      </c>
      <c r="K7" s="102"/>
      <c r="N7" s="34" t="s">
        <v>58</v>
      </c>
      <c r="P7" s="34">
        <v>9800</v>
      </c>
      <c r="Q7" s="105">
        <f>P7/lbs_to_kg</f>
        <v>21604.938271604937</v>
      </c>
    </row>
    <row r="8" spans="1:18" s="34" customFormat="1" x14ac:dyDescent="0.25">
      <c r="A8" s="34" t="s">
        <v>36</v>
      </c>
      <c r="C8" s="100" t="s">
        <v>117</v>
      </c>
      <c r="D8" s="106" t="s">
        <v>79</v>
      </c>
      <c r="E8" s="101" t="s">
        <v>80</v>
      </c>
      <c r="F8" s="101" t="s">
        <v>81</v>
      </c>
      <c r="G8" s="101" t="s">
        <v>82</v>
      </c>
      <c r="H8" s="101" t="s">
        <v>83</v>
      </c>
      <c r="I8" s="101" t="s">
        <v>84</v>
      </c>
      <c r="J8" s="101" t="s">
        <v>85</v>
      </c>
      <c r="K8" s="102"/>
      <c r="N8" s="34" t="s">
        <v>59</v>
      </c>
      <c r="P8" s="34">
        <v>10700</v>
      </c>
      <c r="Q8" s="105">
        <f>P8/lbs_to_kg</f>
        <v>23589.065255731923</v>
      </c>
    </row>
    <row r="9" spans="1:18" s="34" customFormat="1" x14ac:dyDescent="0.25">
      <c r="A9" s="34" t="s">
        <v>36</v>
      </c>
      <c r="C9" s="101" t="s">
        <v>42</v>
      </c>
      <c r="D9" s="101" t="str">
        <f>E8</f>
        <v>7</v>
      </c>
      <c r="E9" s="101" t="str">
        <f>F8</f>
        <v>8</v>
      </c>
      <c r="F9" s="101" t="str">
        <f>G8</f>
        <v>10</v>
      </c>
      <c r="G9" s="101" t="str">
        <f t="shared" ref="G9:I9" si="4">H8</f>
        <v>11</v>
      </c>
      <c r="H9" s="101" t="str">
        <f t="shared" si="4"/>
        <v>12</v>
      </c>
      <c r="I9" s="101" t="str">
        <f t="shared" si="4"/>
        <v>14</v>
      </c>
      <c r="J9" s="101"/>
      <c r="L9" s="34" t="s">
        <v>96</v>
      </c>
      <c r="N9" s="34">
        <v>8415</v>
      </c>
      <c r="O9" s="105">
        <f>N9/lbs_to_kg</f>
        <v>18551.5873015873</v>
      </c>
    </row>
    <row r="10" spans="1:18" s="34" customFormat="1" x14ac:dyDescent="0.25">
      <c r="A10" s="34" t="s">
        <v>36</v>
      </c>
      <c r="C10" s="101" t="s">
        <v>42</v>
      </c>
      <c r="D10" s="101">
        <f>E7</f>
        <v>9360</v>
      </c>
      <c r="E10" s="101">
        <f>F7</f>
        <v>12360</v>
      </c>
      <c r="F10" s="101">
        <f>G7</f>
        <v>19200</v>
      </c>
      <c r="G10" s="101">
        <f t="shared" ref="G10:I10" si="5">H7</f>
        <v>23208</v>
      </c>
      <c r="H10" s="101">
        <f t="shared" si="5"/>
        <v>27516</v>
      </c>
      <c r="I10" s="101">
        <f t="shared" si="5"/>
        <v>37512</v>
      </c>
      <c r="L10" s="34" t="s">
        <v>97</v>
      </c>
      <c r="N10" s="34">
        <v>5745</v>
      </c>
      <c r="O10" s="105">
        <f>N10/lbs_to_kg</f>
        <v>12665.343915343916</v>
      </c>
      <c r="R10" s="107"/>
    </row>
    <row r="11" spans="1:18" s="34" customFormat="1" x14ac:dyDescent="0.25">
      <c r="A11" s="34" t="s">
        <v>36</v>
      </c>
      <c r="F11" s="34" t="s">
        <v>99</v>
      </c>
    </row>
    <row r="12" spans="1:18" x14ac:dyDescent="0.25">
      <c r="C12" s="78"/>
      <c r="F12" s="78"/>
    </row>
    <row r="13" spans="1:18" ht="15.75" thickBot="1" x14ac:dyDescent="0.3"/>
    <row r="14" spans="1:18" ht="28.5" x14ac:dyDescent="0.45">
      <c r="C14" s="189" t="s">
        <v>95</v>
      </c>
      <c r="D14" s="190"/>
      <c r="E14" s="190"/>
      <c r="F14" s="190"/>
      <c r="G14" s="190"/>
      <c r="H14" s="190"/>
      <c r="I14" s="190"/>
      <c r="J14" s="191"/>
    </row>
    <row r="15" spans="1:18" x14ac:dyDescent="0.25">
      <c r="C15" s="186" t="s">
        <v>70</v>
      </c>
      <c r="D15" s="187"/>
      <c r="E15" s="187" t="s">
        <v>71</v>
      </c>
      <c r="F15" s="187"/>
      <c r="G15" s="187" t="s">
        <v>72</v>
      </c>
      <c r="H15" s="187"/>
      <c r="I15" s="187" t="s">
        <v>73</v>
      </c>
      <c r="J15" s="188"/>
      <c r="N15" s="59"/>
      <c r="P15" s="60"/>
      <c r="Q15" s="59"/>
    </row>
    <row r="16" spans="1:18" x14ac:dyDescent="0.25">
      <c r="C16" s="67" t="s">
        <v>62</v>
      </c>
      <c r="D16" s="55" t="s">
        <v>63</v>
      </c>
      <c r="E16" s="55" t="s">
        <v>64</v>
      </c>
      <c r="F16" s="55" t="s">
        <v>65</v>
      </c>
      <c r="G16" s="55" t="s">
        <v>66</v>
      </c>
      <c r="H16" s="55" t="s">
        <v>67</v>
      </c>
      <c r="I16" s="55" t="s">
        <v>68</v>
      </c>
      <c r="J16" s="68" t="s">
        <v>69</v>
      </c>
      <c r="N16" s="59"/>
      <c r="O16" s="59"/>
      <c r="P16" s="60"/>
    </row>
    <row r="17" spans="3:17" x14ac:dyDescent="0.25">
      <c r="C17" s="69" t="s">
        <v>74</v>
      </c>
      <c r="D17" s="65"/>
      <c r="E17" s="61">
        <v>320</v>
      </c>
      <c r="F17" s="61">
        <v>705</v>
      </c>
      <c r="G17" s="62">
        <v>1.95</v>
      </c>
      <c r="H17" s="62">
        <v>1.31</v>
      </c>
      <c r="I17" s="63">
        <v>2.8961000000000001E-2</v>
      </c>
      <c r="J17" s="70">
        <v>1.3164199999999999E-2</v>
      </c>
      <c r="N17" s="59"/>
      <c r="P17" s="60"/>
      <c r="Q17" s="59"/>
    </row>
    <row r="18" spans="3:17" x14ac:dyDescent="0.25">
      <c r="C18" s="69" t="s">
        <v>75</v>
      </c>
      <c r="D18" s="64" t="s">
        <v>27</v>
      </c>
      <c r="E18" s="61">
        <v>500</v>
      </c>
      <c r="F18" s="61">
        <v>1100</v>
      </c>
      <c r="G18" s="62">
        <v>3.05</v>
      </c>
      <c r="H18" s="62">
        <v>2.0499999999999998</v>
      </c>
      <c r="I18" s="63">
        <v>1.8534999999999999E-2</v>
      </c>
      <c r="J18" s="70">
        <v>8.4250999999999996E-3</v>
      </c>
      <c r="O18" s="59"/>
      <c r="P18" s="60"/>
      <c r="Q18" s="59"/>
    </row>
    <row r="19" spans="3:17" x14ac:dyDescent="0.25">
      <c r="C19" s="69" t="s">
        <v>76</v>
      </c>
      <c r="D19" s="65"/>
      <c r="E19" s="61">
        <v>720</v>
      </c>
      <c r="F19" s="61">
        <v>1590</v>
      </c>
      <c r="G19" s="62">
        <v>4.49</v>
      </c>
      <c r="H19" s="62">
        <v>3.02</v>
      </c>
      <c r="I19" s="63">
        <v>1.2872E-2</v>
      </c>
      <c r="J19" s="70">
        <v>5.8510000000000003E-3</v>
      </c>
      <c r="N19" s="59"/>
      <c r="O19" s="59"/>
      <c r="P19" s="60"/>
    </row>
    <row r="20" spans="3:17" x14ac:dyDescent="0.25">
      <c r="C20" s="71"/>
      <c r="D20" s="64" t="s">
        <v>33</v>
      </c>
      <c r="E20" s="61">
        <v>720</v>
      </c>
      <c r="F20" s="61">
        <v>1590</v>
      </c>
      <c r="G20" s="62">
        <v>4.49</v>
      </c>
      <c r="H20" s="62">
        <v>3.02</v>
      </c>
      <c r="I20" s="63">
        <v>1.2872E-2</v>
      </c>
      <c r="J20" s="70">
        <v>5.8510000000000003E-3</v>
      </c>
      <c r="O20" s="59"/>
      <c r="P20" s="60"/>
      <c r="Q20" s="59"/>
    </row>
    <row r="21" spans="3:17" x14ac:dyDescent="0.25">
      <c r="C21" s="69" t="s">
        <v>77</v>
      </c>
      <c r="D21" s="64" t="s">
        <v>28</v>
      </c>
      <c r="E21" s="61">
        <v>1280</v>
      </c>
      <c r="F21" s="61">
        <v>2820</v>
      </c>
      <c r="G21" s="62">
        <v>7.81</v>
      </c>
      <c r="H21" s="62">
        <v>5.25</v>
      </c>
      <c r="I21" s="63">
        <v>7.378E-3</v>
      </c>
      <c r="J21" s="70">
        <v>3.3536999999999998E-3</v>
      </c>
      <c r="N21" s="59"/>
      <c r="P21" s="60"/>
      <c r="Q21" s="59"/>
    </row>
    <row r="22" spans="3:17" x14ac:dyDescent="0.25">
      <c r="C22" s="71"/>
      <c r="D22" s="64" t="s">
        <v>29</v>
      </c>
      <c r="E22" s="61">
        <v>1800</v>
      </c>
      <c r="F22" s="61">
        <v>3970</v>
      </c>
      <c r="G22" s="62">
        <v>10.6</v>
      </c>
      <c r="H22" s="62">
        <v>7.12</v>
      </c>
      <c r="I22" s="63">
        <v>5.0800000000000003E-3</v>
      </c>
      <c r="J22" s="70">
        <v>2.3091000000000001E-3</v>
      </c>
      <c r="O22" s="59"/>
      <c r="P22" s="60"/>
      <c r="Q22" s="59"/>
    </row>
    <row r="23" spans="3:17" x14ac:dyDescent="0.25">
      <c r="C23" s="69" t="s">
        <v>78</v>
      </c>
      <c r="D23" s="65"/>
      <c r="E23" s="61">
        <v>2000</v>
      </c>
      <c r="F23" s="61">
        <v>4400</v>
      </c>
      <c r="G23" s="62">
        <v>12.2</v>
      </c>
      <c r="H23" s="62">
        <v>8.1999999999999993</v>
      </c>
      <c r="I23" s="63">
        <v>4.627E-3</v>
      </c>
      <c r="J23" s="70">
        <v>2.1031999999999999E-3</v>
      </c>
      <c r="N23" s="59"/>
      <c r="P23" s="60"/>
      <c r="Q23" s="59"/>
    </row>
    <row r="24" spans="3:17" x14ac:dyDescent="0.25">
      <c r="C24" s="71"/>
      <c r="D24" s="64" t="s">
        <v>30</v>
      </c>
      <c r="E24" s="61">
        <v>2470</v>
      </c>
      <c r="F24" s="61">
        <v>5440</v>
      </c>
      <c r="G24" s="62">
        <v>15.1</v>
      </c>
      <c r="H24" s="62">
        <v>10.1</v>
      </c>
      <c r="I24" s="63">
        <v>3.7439999999999999E-3</v>
      </c>
      <c r="J24" s="70">
        <v>1.7018000000000001E-3</v>
      </c>
      <c r="O24" s="59"/>
      <c r="P24" s="60"/>
      <c r="Q24" s="59"/>
    </row>
    <row r="25" spans="3:17" x14ac:dyDescent="0.25">
      <c r="C25" s="69" t="s">
        <v>79</v>
      </c>
      <c r="D25" s="65"/>
      <c r="E25" s="61">
        <v>2880</v>
      </c>
      <c r="F25" s="61">
        <v>6350</v>
      </c>
      <c r="G25" s="62">
        <v>17.600000000000001</v>
      </c>
      <c r="H25" s="62">
        <v>11.8</v>
      </c>
      <c r="I25" s="63">
        <v>3.2239999999999999E-3</v>
      </c>
      <c r="J25" s="70">
        <v>1.4655E-3</v>
      </c>
      <c r="N25" s="59"/>
      <c r="O25" s="59"/>
      <c r="P25" s="60"/>
    </row>
    <row r="26" spans="3:17" x14ac:dyDescent="0.25">
      <c r="C26" s="71"/>
      <c r="D26" s="64" t="s">
        <v>31</v>
      </c>
      <c r="E26" s="61">
        <v>3220</v>
      </c>
      <c r="F26" s="61">
        <v>7100</v>
      </c>
      <c r="G26" s="62">
        <v>19.399999999999999</v>
      </c>
      <c r="H26" s="62">
        <v>13</v>
      </c>
      <c r="I26" s="63">
        <v>2.8730000000000001E-3</v>
      </c>
      <c r="J26" s="70">
        <v>1.3059E-3</v>
      </c>
      <c r="N26" s="59"/>
      <c r="O26" s="59"/>
      <c r="P26" s="60"/>
    </row>
    <row r="27" spans="3:17" x14ac:dyDescent="0.25">
      <c r="C27" s="69" t="s">
        <v>80</v>
      </c>
      <c r="D27" s="64" t="s">
        <v>32</v>
      </c>
      <c r="E27" s="61">
        <v>3550</v>
      </c>
      <c r="F27" s="61">
        <v>7800</v>
      </c>
      <c r="G27" s="62">
        <v>23.9</v>
      </c>
      <c r="H27" s="62">
        <v>16.100000000000001</v>
      </c>
      <c r="I27" s="63">
        <v>2.274E-3</v>
      </c>
      <c r="J27" s="70">
        <v>1.0336E-3</v>
      </c>
      <c r="O27" s="59"/>
      <c r="P27" s="60"/>
      <c r="Q27" s="59"/>
    </row>
    <row r="28" spans="3:17" x14ac:dyDescent="0.25">
      <c r="C28" s="69" t="s">
        <v>81</v>
      </c>
      <c r="D28" s="64" t="s">
        <v>34</v>
      </c>
      <c r="E28" s="61">
        <v>4640</v>
      </c>
      <c r="F28" s="61">
        <v>10300</v>
      </c>
      <c r="G28" s="62">
        <v>31.2</v>
      </c>
      <c r="H28" s="62">
        <v>21</v>
      </c>
      <c r="I28" s="63">
        <v>1.833E-3</v>
      </c>
      <c r="J28" s="70">
        <v>8.3319999999999998E-4</v>
      </c>
      <c r="N28" s="59"/>
      <c r="P28" s="60"/>
      <c r="Q28" s="59"/>
    </row>
    <row r="29" spans="3:17" x14ac:dyDescent="0.25">
      <c r="C29" s="71"/>
      <c r="D29" s="64" t="s">
        <v>35</v>
      </c>
      <c r="E29" s="61">
        <v>6580</v>
      </c>
      <c r="F29" s="61">
        <v>14500</v>
      </c>
      <c r="G29" s="62">
        <v>43.2</v>
      </c>
      <c r="H29" s="62">
        <v>29</v>
      </c>
      <c r="I29" s="63">
        <v>1.2769999999999999E-3</v>
      </c>
      <c r="J29" s="70">
        <v>5.8049999999999996E-4</v>
      </c>
      <c r="N29" s="59"/>
      <c r="O29" s="59"/>
      <c r="P29" s="60"/>
    </row>
    <row r="30" spans="3:17" x14ac:dyDescent="0.25">
      <c r="C30" s="69" t="s">
        <v>82</v>
      </c>
      <c r="D30" s="65"/>
      <c r="E30" s="61">
        <v>7250</v>
      </c>
      <c r="F30" s="61">
        <v>16000</v>
      </c>
      <c r="G30" s="62">
        <v>48.8</v>
      </c>
      <c r="H30" s="62">
        <v>32.799999999999997</v>
      </c>
      <c r="I30" s="63">
        <v>1.157E-3</v>
      </c>
      <c r="J30" s="70">
        <v>5.2590000000000004E-4</v>
      </c>
      <c r="N30" s="59"/>
      <c r="P30" s="60"/>
      <c r="Q30" s="59"/>
    </row>
    <row r="31" spans="3:17" x14ac:dyDescent="0.25">
      <c r="C31" s="69" t="s">
        <v>83</v>
      </c>
      <c r="D31" s="64" t="s">
        <v>49</v>
      </c>
      <c r="E31" s="61">
        <v>8770</v>
      </c>
      <c r="F31" s="61">
        <v>19340</v>
      </c>
      <c r="G31" s="62">
        <v>59.1</v>
      </c>
      <c r="H31" s="62">
        <v>39.700000000000003</v>
      </c>
      <c r="I31" s="63">
        <v>9.3599999999999998E-4</v>
      </c>
      <c r="J31" s="70">
        <v>4.2549999999999999E-4</v>
      </c>
      <c r="O31" s="59"/>
      <c r="P31" s="60"/>
      <c r="Q31" s="59"/>
    </row>
    <row r="32" spans="3:17" x14ac:dyDescent="0.25">
      <c r="C32" s="69" t="s">
        <v>84</v>
      </c>
      <c r="D32" s="65"/>
      <c r="E32" s="61">
        <v>10400</v>
      </c>
      <c r="F32" s="61">
        <v>22930</v>
      </c>
      <c r="G32" s="62">
        <v>70.3</v>
      </c>
      <c r="H32" s="62">
        <v>47.2</v>
      </c>
      <c r="I32" s="63">
        <v>8.0599999999999997E-4</v>
      </c>
      <c r="J32" s="70">
        <v>3.6640000000000002E-4</v>
      </c>
      <c r="N32" s="59"/>
      <c r="O32" s="59"/>
      <c r="P32" s="60"/>
    </row>
    <row r="33" spans="3:16" x14ac:dyDescent="0.25">
      <c r="C33" s="71"/>
      <c r="D33" s="97" t="s">
        <v>50</v>
      </c>
      <c r="E33" s="61">
        <v>11650</v>
      </c>
      <c r="F33" s="61">
        <v>25680</v>
      </c>
      <c r="G33" s="62">
        <v>79.3</v>
      </c>
      <c r="H33" s="62">
        <v>53.3</v>
      </c>
      <c r="I33" s="63">
        <v>7.18E-4</v>
      </c>
      <c r="J33" s="70">
        <v>3.2640000000000002E-4</v>
      </c>
      <c r="N33" s="59"/>
      <c r="O33" s="59"/>
      <c r="P33" s="60"/>
    </row>
    <row r="34" spans="3:16" x14ac:dyDescent="0.25">
      <c r="C34" s="69" t="s">
        <v>85</v>
      </c>
      <c r="D34" s="64" t="s">
        <v>86</v>
      </c>
      <c r="E34" s="61">
        <v>14180</v>
      </c>
      <c r="F34" s="61">
        <v>31260</v>
      </c>
      <c r="G34" s="62">
        <v>95.7</v>
      </c>
      <c r="H34" s="62">
        <v>64.3</v>
      </c>
      <c r="I34" s="63">
        <v>5.6599999999999999E-4</v>
      </c>
      <c r="J34" s="70">
        <v>2.5730000000000002E-4</v>
      </c>
      <c r="N34" s="59"/>
      <c r="O34" s="59"/>
      <c r="P34" s="60"/>
    </row>
    <row r="35" spans="3:16" x14ac:dyDescent="0.25">
      <c r="C35" s="69" t="s">
        <v>87</v>
      </c>
      <c r="D35" s="64" t="s">
        <v>88</v>
      </c>
      <c r="E35" s="61">
        <v>18560</v>
      </c>
      <c r="F35" s="61">
        <v>40920</v>
      </c>
      <c r="G35" s="62">
        <v>125</v>
      </c>
      <c r="H35" s="62">
        <v>84</v>
      </c>
      <c r="I35" s="63">
        <v>4.6000000000000001E-4</v>
      </c>
      <c r="J35" s="70">
        <v>2.0909999999999999E-4</v>
      </c>
      <c r="N35" s="59"/>
      <c r="O35" s="59"/>
      <c r="P35" s="60"/>
    </row>
    <row r="36" spans="3:16" x14ac:dyDescent="0.25">
      <c r="C36" s="69" t="s">
        <v>89</v>
      </c>
      <c r="D36" s="64" t="s">
        <v>90</v>
      </c>
      <c r="E36" s="61">
        <v>21620</v>
      </c>
      <c r="F36" s="61">
        <v>47660</v>
      </c>
      <c r="G36" s="62">
        <v>176</v>
      </c>
      <c r="H36" s="62">
        <v>118</v>
      </c>
      <c r="I36" s="63">
        <v>3.19E-4</v>
      </c>
      <c r="J36" s="70">
        <v>1.45E-4</v>
      </c>
      <c r="N36" s="59"/>
      <c r="O36" s="59"/>
      <c r="P36" s="60"/>
    </row>
    <row r="37" spans="3:16" x14ac:dyDescent="0.25">
      <c r="C37" s="69" t="s">
        <v>91</v>
      </c>
      <c r="D37" s="64" t="s">
        <v>92</v>
      </c>
      <c r="E37" s="61">
        <v>29070</v>
      </c>
      <c r="F37" s="61">
        <v>64090</v>
      </c>
      <c r="G37" s="62">
        <v>236</v>
      </c>
      <c r="H37" s="62">
        <v>159</v>
      </c>
      <c r="I37" s="63">
        <v>2.3499999999999999E-4</v>
      </c>
      <c r="J37" s="70">
        <v>1.0679999999999999E-4</v>
      </c>
      <c r="N37" s="59"/>
      <c r="O37" s="59"/>
      <c r="P37" s="59"/>
    </row>
    <row r="38" spans="3:16" ht="15.75" thickBot="1" x14ac:dyDescent="0.3">
      <c r="C38" s="72" t="s">
        <v>93</v>
      </c>
      <c r="D38" s="73" t="s">
        <v>94</v>
      </c>
      <c r="E38" s="74">
        <v>40600</v>
      </c>
      <c r="F38" s="74">
        <v>89500</v>
      </c>
      <c r="G38" s="75">
        <v>330</v>
      </c>
      <c r="H38" s="75">
        <v>222</v>
      </c>
      <c r="I38" s="76">
        <v>1.8000000000000001E-4</v>
      </c>
      <c r="J38" s="77">
        <v>8.1799999999999996E-5</v>
      </c>
      <c r="N38" s="59"/>
      <c r="O38" s="59"/>
      <c r="P38" s="59"/>
    </row>
  </sheetData>
  <mergeCells count="5">
    <mergeCell ref="C15:D15"/>
    <mergeCell ref="E15:F15"/>
    <mergeCell ref="G15:H15"/>
    <mergeCell ref="I15:J15"/>
    <mergeCell ref="C14:J14"/>
  </mergeCells>
  <pageMargins left="0.7" right="0.7" top="0.75" bottom="0.75" header="0.3" footer="0.3"/>
  <pageSetup orientation="portrait" r:id="rId1"/>
  <ignoredErrors>
    <ignoredError sqref="C17 C18:C3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O43"/>
  <sheetViews>
    <sheetView showGridLines="0" workbookViewId="0">
      <selection activeCell="C18" sqref="C18"/>
    </sheetView>
  </sheetViews>
  <sheetFormatPr defaultRowHeight="15" x14ac:dyDescent="0.25"/>
  <cols>
    <col min="3" max="3" width="10.42578125" customWidth="1"/>
    <col min="4" max="4" width="11.140625" bestFit="1" customWidth="1"/>
    <col min="5" max="5" width="11.140625" customWidth="1"/>
    <col min="12" max="12" width="21.28515625" customWidth="1"/>
    <col min="13" max="13" width="34.85546875" customWidth="1"/>
    <col min="14" max="14" width="16.28515625" style="95" hidden="1" customWidth="1"/>
    <col min="15" max="15" width="20.42578125" style="34" hidden="1" customWidth="1"/>
  </cols>
  <sheetData>
    <row r="1" spans="2:15" x14ac:dyDescent="0.25">
      <c r="N1" s="95" t="s">
        <v>36</v>
      </c>
      <c r="O1" s="34" t="s">
        <v>36</v>
      </c>
    </row>
    <row r="7" spans="2:15" x14ac:dyDescent="0.25">
      <c r="N7" s="94"/>
    </row>
    <row r="8" spans="2:15" x14ac:dyDescent="0.25">
      <c r="B8" s="195" t="s">
        <v>8</v>
      </c>
      <c r="C8" s="195" t="s">
        <v>9</v>
      </c>
      <c r="D8" s="192" t="s">
        <v>3</v>
      </c>
      <c r="E8" s="192"/>
      <c r="F8" s="192"/>
      <c r="G8" s="192" t="s">
        <v>4</v>
      </c>
      <c r="H8" s="192"/>
      <c r="I8" s="192"/>
      <c r="J8" s="193" t="s">
        <v>7</v>
      </c>
    </row>
    <row r="9" spans="2:15" x14ac:dyDescent="0.25">
      <c r="B9" s="195"/>
      <c r="C9" s="195"/>
      <c r="D9" s="37" t="s">
        <v>5</v>
      </c>
      <c r="E9" s="37" t="str">
        <f>WorkBookUnits</f>
        <v>Lbs</v>
      </c>
      <c r="F9" s="37" t="s">
        <v>6</v>
      </c>
      <c r="G9" s="37" t="s">
        <v>5</v>
      </c>
      <c r="H9" s="37" t="str">
        <f>WorkBookUnits</f>
        <v>Lbs</v>
      </c>
      <c r="I9" s="37" t="s">
        <v>6</v>
      </c>
      <c r="J9" s="194"/>
      <c r="N9" s="115" t="s">
        <v>3</v>
      </c>
      <c r="O9" s="116" t="s">
        <v>131</v>
      </c>
    </row>
    <row r="10" spans="2:15" x14ac:dyDescent="0.25">
      <c r="B10" s="36" t="s">
        <v>35</v>
      </c>
      <c r="C10" s="1" t="s">
        <v>1</v>
      </c>
      <c r="D10" s="35">
        <v>33</v>
      </c>
      <c r="E10" s="1">
        <f>VLOOKUP(D10,scale_lbs,HLOOKUP($B10,lookup_cols,3,FALSE))</f>
        <v>1100</v>
      </c>
      <c r="F10" s="2">
        <f>E10/J10</f>
        <v>7.6208951087709573E-2</v>
      </c>
      <c r="G10" s="35">
        <v>33</v>
      </c>
      <c r="H10" s="1">
        <f>VLOOKUP(G10,scale_lbs,HLOOKUP($B10,lookup_cols,3,FALSE))</f>
        <v>1100</v>
      </c>
      <c r="I10" s="2">
        <f>H10/J10</f>
        <v>7.6208951087709573E-2</v>
      </c>
      <c r="J10" s="1">
        <f>HLOOKUP(B10,bs_lbs,2,FALSE)</f>
        <v>14434</v>
      </c>
      <c r="N10" s="113" t="str">
        <f>CONCATENATE($C10," - ",ROUND(100*F10,0),"% ",CHAR(151))</f>
        <v>D3/V2 - 8% —</v>
      </c>
      <c r="O10" s="114" t="str">
        <f t="shared" ref="O10:O12" si="0">CONCATENATE(CHAR(151)," ",C10," - ",ROUND(100*I10,0),"%")</f>
        <v>— D3/V2 - 8%</v>
      </c>
    </row>
    <row r="11" spans="2:15" x14ac:dyDescent="0.25">
      <c r="B11" s="79" t="s">
        <v>34</v>
      </c>
      <c r="C11" s="1" t="s">
        <v>0</v>
      </c>
      <c r="D11" s="35">
        <v>23</v>
      </c>
      <c r="E11" s="1">
        <f>VLOOKUP(D11,scale_lbs,HLOOKUP($B11,lookup_cols,3,FALSE))</f>
        <v>1210</v>
      </c>
      <c r="F11" s="2">
        <f>E11/J11</f>
        <v>0.11829113305308436</v>
      </c>
      <c r="G11" s="35">
        <v>22.5</v>
      </c>
      <c r="H11" s="1">
        <f>VLOOKUP(G11,scale_lbs,HLOOKUP($B11,lookup_cols,3,FALSE))</f>
        <v>1130</v>
      </c>
      <c r="I11" s="2">
        <f>H11/J11</f>
        <v>0.11047023169420275</v>
      </c>
      <c r="J11" s="1">
        <f>HLOOKUP(B11,bs_lbs,2,FALSE)</f>
        <v>10229</v>
      </c>
      <c r="N11" s="113" t="str">
        <f t="shared" ref="N11:N13" si="1">CONCATENATE($C11," - ",ROUND(100*F11,0),"% ",CHAR(151))</f>
        <v>D2 - 12% —</v>
      </c>
      <c r="O11" s="114" t="str">
        <f t="shared" si="0"/>
        <v>— D2 - 11%</v>
      </c>
    </row>
    <row r="12" spans="2:15" x14ac:dyDescent="0.25">
      <c r="B12" s="36" t="s">
        <v>35</v>
      </c>
      <c r="C12" s="1" t="s">
        <v>2</v>
      </c>
      <c r="D12" s="35">
        <v>44</v>
      </c>
      <c r="E12" s="1">
        <f>VLOOKUP(D12,scale_lbs,HLOOKUP($B12,lookup_cols,3,FALSE))</f>
        <v>2620</v>
      </c>
      <c r="F12" s="2">
        <f>E12/J12</f>
        <v>0.18151586531799918</v>
      </c>
      <c r="G12" s="35">
        <v>45</v>
      </c>
      <c r="H12" s="1">
        <f>VLOOKUP(G12,scale_lbs,HLOOKUP($B12,lookup_cols,3,FALSE))</f>
        <v>2850</v>
      </c>
      <c r="I12" s="2">
        <f>H12/J12</f>
        <v>0.19745046418179299</v>
      </c>
      <c r="J12" s="1">
        <f>HLOOKUP(B12,bs_lbs,2,FALSE)</f>
        <v>14434</v>
      </c>
      <c r="N12" s="113" t="str">
        <f t="shared" si="1"/>
        <v>V1 - 18% —</v>
      </c>
      <c r="O12" s="114" t="str">
        <f t="shared" si="0"/>
        <v>— V1 - 20%</v>
      </c>
    </row>
    <row r="13" spans="2:15" x14ac:dyDescent="0.25">
      <c r="B13" s="118" t="s">
        <v>34</v>
      </c>
      <c r="C13" s="1" t="s">
        <v>106</v>
      </c>
      <c r="D13" s="35">
        <v>25</v>
      </c>
      <c r="E13" s="1">
        <f>VLOOKUP(D13,scale_lbs,HLOOKUP($B13,lookup_cols,3,FALSE))</f>
        <v>1400</v>
      </c>
      <c r="F13" s="2">
        <f>E13/J13</f>
        <v>0.13686577378042819</v>
      </c>
      <c r="G13" s="35">
        <v>25</v>
      </c>
      <c r="H13" s="1">
        <f>VLOOKUP(G13,scale_lbs,HLOOKUP($B13,lookup_cols,3,FALSE))</f>
        <v>1400</v>
      </c>
      <c r="I13" s="2">
        <f>H13/J13</f>
        <v>0.13686577378042819</v>
      </c>
      <c r="J13" s="1">
        <f>HLOOKUP(B13,bs_lbs,2,FALSE)</f>
        <v>10229</v>
      </c>
      <c r="N13" s="113" t="str">
        <f t="shared" si="1"/>
        <v>D1 - 14% —</v>
      </c>
      <c r="O13" s="114" t="str">
        <f>CONCATENATE(CHAR(151)," ",C13," - ",ROUND(100*I13,0),"%")</f>
        <v>— D1 - 14%</v>
      </c>
    </row>
    <row r="15" spans="2:15" x14ac:dyDescent="0.25">
      <c r="B15" t="s">
        <v>105</v>
      </c>
      <c r="E15" s="93">
        <f>+E12-E11-E10</f>
        <v>310</v>
      </c>
      <c r="H15">
        <f>+H12-H11-H10</f>
        <v>620</v>
      </c>
    </row>
    <row r="17" spans="2:14" x14ac:dyDescent="0.25">
      <c r="B17" t="s">
        <v>125</v>
      </c>
    </row>
    <row r="18" spans="2:14" x14ac:dyDescent="0.25">
      <c r="B18" t="s">
        <v>122</v>
      </c>
    </row>
    <row r="19" spans="2:14" x14ac:dyDescent="0.25">
      <c r="B19" t="s">
        <v>123</v>
      </c>
      <c r="N19" s="94"/>
    </row>
    <row r="20" spans="2:14" x14ac:dyDescent="0.25">
      <c r="B20" t="s">
        <v>124</v>
      </c>
    </row>
    <row r="21" spans="2:14" x14ac:dyDescent="0.25">
      <c r="B21" t="s">
        <v>126</v>
      </c>
    </row>
    <row r="22" spans="2:14" x14ac:dyDescent="0.25">
      <c r="B22" t="s">
        <v>127</v>
      </c>
    </row>
    <row r="24" spans="2:14" ht="15.75" thickBot="1" x14ac:dyDescent="0.3"/>
    <row r="25" spans="2:14" x14ac:dyDescent="0.25">
      <c r="B25" s="147" t="s">
        <v>302</v>
      </c>
      <c r="C25" s="127"/>
      <c r="D25" s="127"/>
      <c r="E25" s="127"/>
      <c r="F25" s="148" t="s">
        <v>324</v>
      </c>
      <c r="G25" s="127"/>
      <c r="H25" s="127"/>
      <c r="I25" s="128"/>
    </row>
    <row r="26" spans="2:14" x14ac:dyDescent="0.25">
      <c r="B26" s="139"/>
      <c r="C26" s="130"/>
      <c r="D26" s="130"/>
      <c r="E26" s="130"/>
      <c r="F26" s="130" t="s">
        <v>307</v>
      </c>
      <c r="G26" s="130"/>
      <c r="H26" s="130">
        <v>55000</v>
      </c>
      <c r="I26" s="131" t="s">
        <v>310</v>
      </c>
    </row>
    <row r="27" spans="2:14" x14ac:dyDescent="0.25">
      <c r="B27" s="139" t="s">
        <v>304</v>
      </c>
      <c r="C27" s="130"/>
      <c r="D27" s="35">
        <v>2.5</v>
      </c>
      <c r="E27" s="130"/>
      <c r="F27" s="130" t="s">
        <v>308</v>
      </c>
      <c r="G27" s="130"/>
      <c r="H27" s="130">
        <v>32000</v>
      </c>
      <c r="I27" s="131" t="s">
        <v>310</v>
      </c>
    </row>
    <row r="28" spans="2:14" x14ac:dyDescent="0.25">
      <c r="B28" s="139" t="s">
        <v>305</v>
      </c>
      <c r="C28" s="130"/>
      <c r="D28" s="35">
        <v>0.375</v>
      </c>
      <c r="E28" s="130"/>
      <c r="F28" s="130" t="s">
        <v>309</v>
      </c>
      <c r="G28" s="130"/>
      <c r="H28" s="130">
        <v>60200</v>
      </c>
      <c r="I28" s="131" t="s">
        <v>310</v>
      </c>
    </row>
    <row r="29" spans="2:14" x14ac:dyDescent="0.25">
      <c r="B29" s="139" t="s">
        <v>303</v>
      </c>
      <c r="C29" s="130"/>
      <c r="D29" s="35">
        <v>0.625</v>
      </c>
      <c r="E29" s="130"/>
      <c r="F29" s="130"/>
      <c r="G29" s="130"/>
      <c r="H29" s="130"/>
      <c r="I29" s="131"/>
    </row>
    <row r="30" spans="2:14" x14ac:dyDescent="0.25">
      <c r="B30" s="139" t="s">
        <v>306</v>
      </c>
      <c r="C30" s="130"/>
      <c r="D30" s="149">
        <f>(D27-D29)*D28</f>
        <v>0.703125</v>
      </c>
      <c r="E30" s="130"/>
      <c r="F30" s="130"/>
      <c r="G30" s="130"/>
      <c r="H30" s="130"/>
      <c r="I30" s="131"/>
    </row>
    <row r="31" spans="2:14" x14ac:dyDescent="0.25">
      <c r="B31" s="139" t="s">
        <v>307</v>
      </c>
      <c r="C31" s="130"/>
      <c r="D31" s="51">
        <f>H26*$D$30</f>
        <v>38671.875</v>
      </c>
      <c r="E31" s="130"/>
      <c r="F31" s="130"/>
      <c r="G31" s="130"/>
      <c r="H31" s="130"/>
      <c r="I31" s="131"/>
    </row>
    <row r="32" spans="2:14" x14ac:dyDescent="0.25">
      <c r="B32" s="139" t="s">
        <v>308</v>
      </c>
      <c r="C32" s="130"/>
      <c r="D32" s="51">
        <f t="shared" ref="D32:D33" si="2">H27*$D$30</f>
        <v>22500</v>
      </c>
      <c r="E32" s="130"/>
      <c r="F32" s="130"/>
      <c r="G32" s="130"/>
      <c r="H32" s="130"/>
      <c r="I32" s="131"/>
    </row>
    <row r="33" spans="2:9" ht="15.75" thickBot="1" x14ac:dyDescent="0.3">
      <c r="B33" s="143" t="s">
        <v>309</v>
      </c>
      <c r="C33" s="144"/>
      <c r="D33" s="150">
        <f t="shared" si="2"/>
        <v>42328.125</v>
      </c>
      <c r="E33" s="144"/>
      <c r="F33" s="144"/>
      <c r="G33" s="144"/>
      <c r="H33" s="144"/>
      <c r="I33" s="145"/>
    </row>
    <row r="40" spans="2:9" ht="18" x14ac:dyDescent="0.25">
      <c r="D40" s="154"/>
    </row>
    <row r="41" spans="2:9" ht="18" x14ac:dyDescent="0.25">
      <c r="D41" s="154"/>
    </row>
    <row r="42" spans="2:9" ht="18" x14ac:dyDescent="0.25">
      <c r="D42" s="154"/>
    </row>
    <row r="43" spans="2:9" ht="18" x14ac:dyDescent="0.25">
      <c r="D43" s="155"/>
    </row>
  </sheetData>
  <sortState ref="Q10">
    <sortCondition descending="1" ref="Q11"/>
  </sortState>
  <mergeCells count="5">
    <mergeCell ref="D8:F8"/>
    <mergeCell ref="G8:I8"/>
    <mergeCell ref="J8:J9"/>
    <mergeCell ref="B8:B9"/>
    <mergeCell ref="C8:C9"/>
  </mergeCells>
  <pageMargins left="0.7" right="0.7" top="0.75" bottom="0.75" header="0.3" footer="0.3"/>
  <pageSetup orientation="portrait" r:id="rId1"/>
  <drawing r:id="rId2"/>
  <legacyDrawing r:id="rId3"/>
  <controls>
    <mc:AlternateContent xmlns:mc="http://schemas.openxmlformats.org/markup-compatibility/2006">
      <mc:Choice Requires="x14">
        <control shapeId="2049" r:id="rId4" name="OptionButton1">
          <controlPr locked="0" print="0" autoLine="0" linkedCell="IsMetric" r:id="rId5">
            <anchor moveWithCells="1">
              <from>
                <xdr:col>1</xdr:col>
                <xdr:colOff>47625</xdr:colOff>
                <xdr:row>2</xdr:row>
                <xdr:rowOff>114300</xdr:rowOff>
              </from>
              <to>
                <xdr:col>3</xdr:col>
                <xdr:colOff>114300</xdr:colOff>
                <xdr:row>4</xdr:row>
                <xdr:rowOff>0</xdr:rowOff>
              </to>
            </anchor>
          </controlPr>
        </control>
      </mc:Choice>
      <mc:Fallback>
        <control shapeId="2049" r:id="rId4" name="OptionButton1"/>
      </mc:Fallback>
    </mc:AlternateContent>
    <mc:AlternateContent xmlns:mc="http://schemas.openxmlformats.org/markup-compatibility/2006">
      <mc:Choice Requires="x14">
        <control shapeId="2050" r:id="rId6" name="OptionButton2">
          <controlPr locked="0" print="0" autoLine="0" r:id="rId7">
            <anchor moveWithCells="1">
              <from>
                <xdr:col>1</xdr:col>
                <xdr:colOff>47625</xdr:colOff>
                <xdr:row>3</xdr:row>
                <xdr:rowOff>161925</xdr:rowOff>
              </from>
              <to>
                <xdr:col>3</xdr:col>
                <xdr:colOff>114300</xdr:colOff>
                <xdr:row>5</xdr:row>
                <xdr:rowOff>47625</xdr:rowOff>
              </to>
            </anchor>
          </controlPr>
        </control>
      </mc:Choice>
      <mc:Fallback>
        <control shapeId="2050" r:id="rId6" name="OptionButton2"/>
      </mc:Fallback>
    </mc:AlternateContent>
    <mc:AlternateContent xmlns:mc="http://schemas.openxmlformats.org/markup-compatibility/2006">
      <mc:Choice Requires="x14">
        <control shapeId="2056" r:id="rId8" name="TextBox5">
          <controlPr defaultSize="0" autoLine="0" linkedCell="O12" r:id="rId9">
            <anchor moveWithCells="1">
              <from>
                <xdr:col>12</xdr:col>
                <xdr:colOff>19050</xdr:colOff>
                <xdr:row>20</xdr:row>
                <xdr:rowOff>0</xdr:rowOff>
              </from>
              <to>
                <xdr:col>12</xdr:col>
                <xdr:colOff>1009650</xdr:colOff>
                <xdr:row>21</xdr:row>
                <xdr:rowOff>76200</xdr:rowOff>
              </to>
            </anchor>
          </controlPr>
        </control>
      </mc:Choice>
      <mc:Fallback>
        <control shapeId="2056" r:id="rId8" name="TextBox5"/>
      </mc:Fallback>
    </mc:AlternateContent>
    <mc:AlternateContent xmlns:mc="http://schemas.openxmlformats.org/markup-compatibility/2006">
      <mc:Choice Requires="x14">
        <control shapeId="2057" r:id="rId10" name="TextBox6">
          <controlPr defaultSize="0" autoLine="0" linkedCell="N10" r:id="rId11">
            <anchor moveWithCells="1">
              <from>
                <xdr:col>10</xdr:col>
                <xdr:colOff>295275</xdr:colOff>
                <xdr:row>5</xdr:row>
                <xdr:rowOff>180975</xdr:rowOff>
              </from>
              <to>
                <xdr:col>11</xdr:col>
                <xdr:colOff>866775</xdr:colOff>
                <xdr:row>7</xdr:row>
                <xdr:rowOff>66675</xdr:rowOff>
              </to>
            </anchor>
          </controlPr>
        </control>
      </mc:Choice>
      <mc:Fallback>
        <control shapeId="2057" r:id="rId10" name="TextBox6"/>
      </mc:Fallback>
    </mc:AlternateContent>
    <mc:AlternateContent xmlns:mc="http://schemas.openxmlformats.org/markup-compatibility/2006">
      <mc:Choice Requires="x14">
        <control shapeId="2058" r:id="rId12" name="TextBox7">
          <controlPr defaultSize="0" autoLine="0" linkedCell="N11" r:id="rId13">
            <anchor moveWithCells="1">
              <from>
                <xdr:col>10</xdr:col>
                <xdr:colOff>266700</xdr:colOff>
                <xdr:row>11</xdr:row>
                <xdr:rowOff>95250</xdr:rowOff>
              </from>
              <to>
                <xdr:col>11</xdr:col>
                <xdr:colOff>838200</xdr:colOff>
                <xdr:row>12</xdr:row>
                <xdr:rowOff>114300</xdr:rowOff>
              </to>
            </anchor>
          </controlPr>
        </control>
      </mc:Choice>
      <mc:Fallback>
        <control shapeId="2058" r:id="rId12" name="TextBox7"/>
      </mc:Fallback>
    </mc:AlternateContent>
    <mc:AlternateContent xmlns:mc="http://schemas.openxmlformats.org/markup-compatibility/2006">
      <mc:Choice Requires="x14">
        <control shapeId="2059" r:id="rId14" name="TextBox8">
          <controlPr defaultSize="0" autoLine="0" linkedCell="N13" r:id="rId15">
            <anchor moveWithCells="1">
              <from>
                <xdr:col>10</xdr:col>
                <xdr:colOff>514350</xdr:colOff>
                <xdr:row>18</xdr:row>
                <xdr:rowOff>28575</xdr:rowOff>
              </from>
              <to>
                <xdr:col>11</xdr:col>
                <xdr:colOff>876300</xdr:colOff>
                <xdr:row>19</xdr:row>
                <xdr:rowOff>104775</xdr:rowOff>
              </to>
            </anchor>
          </controlPr>
        </control>
      </mc:Choice>
      <mc:Fallback>
        <control shapeId="2059" r:id="rId14" name="TextBox8"/>
      </mc:Fallback>
    </mc:AlternateContent>
    <mc:AlternateContent xmlns:mc="http://schemas.openxmlformats.org/markup-compatibility/2006">
      <mc:Choice Requires="x14">
        <control shapeId="2060" r:id="rId16" name="TextBox9">
          <controlPr defaultSize="0" autoLine="0" linkedCell="N12" r:id="rId17">
            <anchor moveWithCells="1">
              <from>
                <xdr:col>10</xdr:col>
                <xdr:colOff>304800</xdr:colOff>
                <xdr:row>20</xdr:row>
                <xdr:rowOff>0</xdr:rowOff>
              </from>
              <to>
                <xdr:col>11</xdr:col>
                <xdr:colOff>695325</xdr:colOff>
                <xdr:row>21</xdr:row>
                <xdr:rowOff>76200</xdr:rowOff>
              </to>
            </anchor>
          </controlPr>
        </control>
      </mc:Choice>
      <mc:Fallback>
        <control shapeId="2060" r:id="rId16" name="TextBox9"/>
      </mc:Fallback>
    </mc:AlternateContent>
    <mc:AlternateContent xmlns:mc="http://schemas.openxmlformats.org/markup-compatibility/2006">
      <mc:Choice Requires="x14">
        <control shapeId="2061" r:id="rId18" name="TextBox10">
          <controlPr defaultSize="0" autoLine="0" linkedCell="O13" r:id="rId19">
            <anchor moveWithCells="1">
              <from>
                <xdr:col>11</xdr:col>
                <xdr:colOff>1247775</xdr:colOff>
                <xdr:row>18</xdr:row>
                <xdr:rowOff>28575</xdr:rowOff>
              </from>
              <to>
                <xdr:col>12</xdr:col>
                <xdr:colOff>847725</xdr:colOff>
                <xdr:row>19</xdr:row>
                <xdr:rowOff>47625</xdr:rowOff>
              </to>
            </anchor>
          </controlPr>
        </control>
      </mc:Choice>
      <mc:Fallback>
        <control shapeId="2061" r:id="rId18" name="TextBox10"/>
      </mc:Fallback>
    </mc:AlternateContent>
    <mc:AlternateContent xmlns:mc="http://schemas.openxmlformats.org/markup-compatibility/2006">
      <mc:Choice Requires="x14">
        <control shapeId="2062" r:id="rId20" name="TextBox3">
          <controlPr defaultSize="0" autoLine="0" linkedCell="O11" r:id="rId21">
            <anchor moveWithCells="1">
              <from>
                <xdr:col>11</xdr:col>
                <xdr:colOff>1238250</xdr:colOff>
                <xdr:row>11</xdr:row>
                <xdr:rowOff>95250</xdr:rowOff>
              </from>
              <to>
                <xdr:col>12</xdr:col>
                <xdr:colOff>800100</xdr:colOff>
                <xdr:row>12</xdr:row>
                <xdr:rowOff>114300</xdr:rowOff>
              </to>
            </anchor>
          </controlPr>
        </control>
      </mc:Choice>
      <mc:Fallback>
        <control shapeId="2062" r:id="rId20" name="TextBox3"/>
      </mc:Fallback>
    </mc:AlternateContent>
    <mc:AlternateContent xmlns:mc="http://schemas.openxmlformats.org/markup-compatibility/2006">
      <mc:Choice Requires="x14">
        <control shapeId="2063" r:id="rId22" name="TextBox1">
          <controlPr defaultSize="0" autoLine="0" linkedCell="O10" r:id="rId23">
            <anchor moveWithCells="1">
              <from>
                <xdr:col>11</xdr:col>
                <xdr:colOff>1266825</xdr:colOff>
                <xdr:row>5</xdr:row>
                <xdr:rowOff>180975</xdr:rowOff>
              </from>
              <to>
                <xdr:col>12</xdr:col>
                <xdr:colOff>1104900</xdr:colOff>
                <xdr:row>7</xdr:row>
                <xdr:rowOff>57150</xdr:rowOff>
              </to>
            </anchor>
          </controlPr>
        </control>
      </mc:Choice>
      <mc:Fallback>
        <control shapeId="2063" r:id="rId22" name="Text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74"/>
  <sheetViews>
    <sheetView topLeftCell="A162" zoomScale="145" zoomScaleNormal="145" workbookViewId="0">
      <selection activeCell="C143" sqref="C143"/>
    </sheetView>
  </sheetViews>
  <sheetFormatPr defaultRowHeight="15" x14ac:dyDescent="0.25"/>
  <sheetData>
    <row r="1" spans="1:1" x14ac:dyDescent="0.25">
      <c r="A1" s="81" t="s">
        <v>249</v>
      </c>
    </row>
    <row r="2" spans="1:1" x14ac:dyDescent="0.25">
      <c r="A2" s="81"/>
    </row>
    <row r="3" spans="1:1" x14ac:dyDescent="0.25">
      <c r="A3" s="135" t="s">
        <v>250</v>
      </c>
    </row>
    <row r="4" spans="1:1" x14ac:dyDescent="0.25">
      <c r="A4" s="135"/>
    </row>
    <row r="5" spans="1:1" x14ac:dyDescent="0.25">
      <c r="A5" s="135" t="s">
        <v>197</v>
      </c>
    </row>
    <row r="6" spans="1:1" x14ac:dyDescent="0.25">
      <c r="A6" s="135"/>
    </row>
    <row r="7" spans="1:1" x14ac:dyDescent="0.25">
      <c r="A7" s="135" t="s">
        <v>198</v>
      </c>
    </row>
    <row r="8" spans="1:1" x14ac:dyDescent="0.25">
      <c r="A8" s="135" t="s">
        <v>199</v>
      </c>
    </row>
    <row r="9" spans="1:1" x14ac:dyDescent="0.25">
      <c r="A9" s="135"/>
    </row>
    <row r="10" spans="1:1" x14ac:dyDescent="0.25">
      <c r="A10" s="135" t="s">
        <v>251</v>
      </c>
    </row>
    <row r="11" spans="1:1" x14ac:dyDescent="0.25">
      <c r="A11" s="135"/>
    </row>
    <row r="12" spans="1:1" x14ac:dyDescent="0.25">
      <c r="A12" s="135" t="s">
        <v>200</v>
      </c>
    </row>
    <row r="13" spans="1:1" x14ac:dyDescent="0.25">
      <c r="A13" s="135"/>
    </row>
    <row r="14" spans="1:1" x14ac:dyDescent="0.25">
      <c r="A14" s="135" t="s">
        <v>315</v>
      </c>
    </row>
    <row r="15" spans="1:1" x14ac:dyDescent="0.25">
      <c r="A15" s="135"/>
    </row>
    <row r="16" spans="1:1" x14ac:dyDescent="0.25">
      <c r="A16" s="135" t="s">
        <v>252</v>
      </c>
    </row>
    <row r="17" spans="1:2" x14ac:dyDescent="0.25">
      <c r="A17" s="135"/>
    </row>
    <row r="18" spans="1:2" x14ac:dyDescent="0.25">
      <c r="A18" s="135" t="s">
        <v>316</v>
      </c>
    </row>
    <row r="19" spans="1:2" x14ac:dyDescent="0.25">
      <c r="A19" s="135"/>
    </row>
    <row r="20" spans="1:2" x14ac:dyDescent="0.25">
      <c r="A20" s="135" t="s">
        <v>201</v>
      </c>
    </row>
    <row r="21" spans="1:2" x14ac:dyDescent="0.25">
      <c r="A21" s="135"/>
    </row>
    <row r="22" spans="1:2" x14ac:dyDescent="0.25">
      <c r="A22" s="135" t="s">
        <v>202</v>
      </c>
    </row>
    <row r="23" spans="1:2" x14ac:dyDescent="0.25">
      <c r="A23" s="81"/>
    </row>
    <row r="24" spans="1:2" x14ac:dyDescent="0.25">
      <c r="A24" s="81" t="s">
        <v>203</v>
      </c>
    </row>
    <row r="25" spans="1:2" x14ac:dyDescent="0.25">
      <c r="A25" s="81"/>
    </row>
    <row r="26" spans="1:2" x14ac:dyDescent="0.25">
      <c r="A26" s="81" t="s">
        <v>204</v>
      </c>
      <c r="B26" s="81" t="s">
        <v>205</v>
      </c>
    </row>
    <row r="27" spans="1:2" x14ac:dyDescent="0.25">
      <c r="A27" s="81" t="s">
        <v>206</v>
      </c>
      <c r="B27" s="81" t="s">
        <v>253</v>
      </c>
    </row>
    <row r="28" spans="1:2" x14ac:dyDescent="0.25">
      <c r="A28" s="81" t="s">
        <v>207</v>
      </c>
      <c r="B28" s="81" t="s">
        <v>208</v>
      </c>
    </row>
    <row r="29" spans="1:2" x14ac:dyDescent="0.25">
      <c r="A29" s="81" t="s">
        <v>209</v>
      </c>
      <c r="B29" s="81" t="s">
        <v>210</v>
      </c>
    </row>
    <row r="30" spans="1:2" x14ac:dyDescent="0.25">
      <c r="A30" s="81" t="s">
        <v>211</v>
      </c>
      <c r="B30" s="81" t="s">
        <v>212</v>
      </c>
    </row>
    <row r="31" spans="1:2" x14ac:dyDescent="0.25">
      <c r="A31" s="81"/>
    </row>
    <row r="32" spans="1:2" x14ac:dyDescent="0.25">
      <c r="A32" s="81" t="s">
        <v>213</v>
      </c>
    </row>
    <row r="33" spans="1:1" x14ac:dyDescent="0.25">
      <c r="A33" s="81"/>
    </row>
    <row r="34" spans="1:1" x14ac:dyDescent="0.25">
      <c r="A34" s="81" t="s">
        <v>214</v>
      </c>
    </row>
    <row r="35" spans="1:1" x14ac:dyDescent="0.25">
      <c r="A35" s="81"/>
    </row>
    <row r="36" spans="1:1" x14ac:dyDescent="0.25">
      <c r="A36" s="81" t="s">
        <v>215</v>
      </c>
    </row>
    <row r="37" spans="1:1" x14ac:dyDescent="0.25">
      <c r="A37" s="81" t="s">
        <v>216</v>
      </c>
    </row>
    <row r="38" spans="1:1" x14ac:dyDescent="0.25">
      <c r="A38" s="81" t="s">
        <v>217</v>
      </c>
    </row>
    <row r="39" spans="1:1" x14ac:dyDescent="0.25">
      <c r="A39" s="81" t="s">
        <v>218</v>
      </c>
    </row>
    <row r="40" spans="1:1" x14ac:dyDescent="0.25">
      <c r="A40" s="81" t="s">
        <v>219</v>
      </c>
    </row>
    <row r="41" spans="1:1" x14ac:dyDescent="0.25">
      <c r="A41" s="81"/>
    </row>
    <row r="42" spans="1:1" x14ac:dyDescent="0.25">
      <c r="A42" s="81" t="s">
        <v>220</v>
      </c>
    </row>
    <row r="43" spans="1:1" x14ac:dyDescent="0.25">
      <c r="A43" s="81"/>
    </row>
    <row r="44" spans="1:1" x14ac:dyDescent="0.25">
      <c r="A44" s="81" t="s">
        <v>215</v>
      </c>
    </row>
    <row r="45" spans="1:1" x14ac:dyDescent="0.25">
      <c r="A45" s="81" t="s">
        <v>216</v>
      </c>
    </row>
    <row r="46" spans="1:1" x14ac:dyDescent="0.25">
      <c r="A46" s="81" t="s">
        <v>217</v>
      </c>
    </row>
    <row r="47" spans="1:1" x14ac:dyDescent="0.25">
      <c r="A47" s="81" t="s">
        <v>218</v>
      </c>
    </row>
    <row r="48" spans="1:1" x14ac:dyDescent="0.25">
      <c r="A48" s="81" t="s">
        <v>221</v>
      </c>
    </row>
    <row r="49" spans="1:1" x14ac:dyDescent="0.25">
      <c r="A49" s="81"/>
    </row>
    <row r="50" spans="1:1" x14ac:dyDescent="0.25">
      <c r="A50" s="81" t="s">
        <v>222</v>
      </c>
    </row>
    <row r="51" spans="1:1" x14ac:dyDescent="0.25">
      <c r="A51" s="81" t="s">
        <v>223</v>
      </c>
    </row>
    <row r="52" spans="1:1" x14ac:dyDescent="0.25">
      <c r="A52" s="81" t="s">
        <v>224</v>
      </c>
    </row>
    <row r="53" spans="1:1" x14ac:dyDescent="0.25">
      <c r="A53" s="81" t="s">
        <v>254</v>
      </c>
    </row>
    <row r="54" spans="1:1" x14ac:dyDescent="0.25">
      <c r="A54" s="81" t="s">
        <v>218</v>
      </c>
    </row>
    <row r="55" spans="1:1" x14ac:dyDescent="0.25">
      <c r="A55" s="81" t="s">
        <v>225</v>
      </c>
    </row>
    <row r="56" spans="1:1" x14ac:dyDescent="0.25">
      <c r="A56" s="81"/>
    </row>
    <row r="57" spans="1:1" x14ac:dyDescent="0.25">
      <c r="A57" s="81" t="s">
        <v>226</v>
      </c>
    </row>
    <row r="58" spans="1:1" x14ac:dyDescent="0.25">
      <c r="A58" s="81" t="s">
        <v>227</v>
      </c>
    </row>
    <row r="59" spans="1:1" x14ac:dyDescent="0.25">
      <c r="A59" s="81" t="s">
        <v>228</v>
      </c>
    </row>
    <row r="60" spans="1:1" x14ac:dyDescent="0.25">
      <c r="A60" s="81" t="s">
        <v>218</v>
      </c>
    </row>
    <row r="61" spans="1:1" x14ac:dyDescent="0.25">
      <c r="A61" s="81" t="s">
        <v>219</v>
      </c>
    </row>
    <row r="62" spans="1:1" x14ac:dyDescent="0.25">
      <c r="A62" s="81"/>
    </row>
    <row r="63" spans="1:1" x14ac:dyDescent="0.25">
      <c r="A63" s="81" t="s">
        <v>229</v>
      </c>
    </row>
    <row r="64" spans="1:1" x14ac:dyDescent="0.25">
      <c r="A64" s="81"/>
    </row>
    <row r="65" spans="1:1" x14ac:dyDescent="0.25">
      <c r="A65" t="s">
        <v>255</v>
      </c>
    </row>
    <row r="67" spans="1:1" ht="20.25" x14ac:dyDescent="0.25">
      <c r="A67" s="133" t="s">
        <v>230</v>
      </c>
    </row>
    <row r="68" spans="1:1" ht="20.25" x14ac:dyDescent="0.25">
      <c r="A68" s="133"/>
    </row>
    <row r="69" spans="1:1" ht="20.25" x14ac:dyDescent="0.25">
      <c r="A69" s="134" t="s">
        <v>231</v>
      </c>
    </row>
    <row r="70" spans="1:1" ht="20.25" x14ac:dyDescent="0.25">
      <c r="A70" s="133"/>
    </row>
    <row r="71" spans="1:1" x14ac:dyDescent="0.25">
      <c r="A71" s="135" t="s">
        <v>232</v>
      </c>
    </row>
    <row r="72" spans="1:1" x14ac:dyDescent="0.25">
      <c r="A72" s="135"/>
    </row>
    <row r="73" spans="1:1" x14ac:dyDescent="0.25">
      <c r="A73" s="135" t="s">
        <v>233</v>
      </c>
    </row>
    <row r="74" spans="1:1" x14ac:dyDescent="0.25">
      <c r="A74" s="135"/>
    </row>
    <row r="75" spans="1:1" x14ac:dyDescent="0.25">
      <c r="A75" s="135" t="s">
        <v>234</v>
      </c>
    </row>
    <row r="76" spans="1:1" x14ac:dyDescent="0.25">
      <c r="A76" s="135"/>
    </row>
    <row r="77" spans="1:1" x14ac:dyDescent="0.25">
      <c r="A77" s="136" t="s">
        <v>235</v>
      </c>
    </row>
    <row r="78" spans="1:1" x14ac:dyDescent="0.25">
      <c r="A78" s="135"/>
    </row>
    <row r="79" spans="1:1" x14ac:dyDescent="0.25">
      <c r="A79" s="136" t="s">
        <v>236</v>
      </c>
    </row>
    <row r="80" spans="1:1" x14ac:dyDescent="0.25">
      <c r="A80" s="135"/>
    </row>
    <row r="81" spans="1:1" x14ac:dyDescent="0.25">
      <c r="A81" s="135" t="s">
        <v>237</v>
      </c>
    </row>
    <row r="82" spans="1:1" x14ac:dyDescent="0.25">
      <c r="A82" s="135" t="s">
        <v>238</v>
      </c>
    </row>
    <row r="83" spans="1:1" x14ac:dyDescent="0.25">
      <c r="A83" s="135"/>
    </row>
    <row r="84" spans="1:1" x14ac:dyDescent="0.25">
      <c r="A84" s="135" t="s">
        <v>239</v>
      </c>
    </row>
    <row r="85" spans="1:1" x14ac:dyDescent="0.25">
      <c r="A85" s="135"/>
    </row>
    <row r="86" spans="1:1" x14ac:dyDescent="0.25">
      <c r="A86" s="137" t="s">
        <v>240</v>
      </c>
    </row>
    <row r="88" spans="1:1" x14ac:dyDescent="0.25">
      <c r="A88" s="137" t="s">
        <v>241</v>
      </c>
    </row>
    <row r="89" spans="1:1" x14ac:dyDescent="0.25">
      <c r="A89" s="135"/>
    </row>
    <row r="90" spans="1:1" x14ac:dyDescent="0.25">
      <c r="A90" s="135" t="s">
        <v>242</v>
      </c>
    </row>
    <row r="91" spans="1:1" x14ac:dyDescent="0.25">
      <c r="A91" s="135"/>
    </row>
    <row r="92" spans="1:1" x14ac:dyDescent="0.25">
      <c r="A92" s="135" t="s">
        <v>243</v>
      </c>
    </row>
    <row r="93" spans="1:1" x14ac:dyDescent="0.25">
      <c r="A93" s="135"/>
    </row>
    <row r="94" spans="1:1" x14ac:dyDescent="0.25">
      <c r="A94" s="135" t="s">
        <v>244</v>
      </c>
    </row>
    <row r="95" spans="1:1" x14ac:dyDescent="0.25">
      <c r="A95" s="135"/>
    </row>
    <row r="96" spans="1:1" x14ac:dyDescent="0.25">
      <c r="A96" s="135" t="s">
        <v>245</v>
      </c>
    </row>
    <row r="98" spans="1:1" x14ac:dyDescent="0.25">
      <c r="A98" s="135" t="s">
        <v>246</v>
      </c>
    </row>
    <row r="101" spans="1:1" x14ac:dyDescent="0.25">
      <c r="A101" s="136" t="s">
        <v>247</v>
      </c>
    </row>
    <row r="102" spans="1:1" x14ac:dyDescent="0.25">
      <c r="A102" s="136" t="s">
        <v>248</v>
      </c>
    </row>
    <row r="143" spans="1:1" x14ac:dyDescent="0.25">
      <c r="A143" s="81" t="s">
        <v>256</v>
      </c>
    </row>
    <row r="144" spans="1:1" x14ac:dyDescent="0.25">
      <c r="A144" s="81"/>
    </row>
    <row r="145" spans="1:1" x14ac:dyDescent="0.25">
      <c r="A145" s="81" t="s">
        <v>257</v>
      </c>
    </row>
    <row r="146" spans="1:1" x14ac:dyDescent="0.25">
      <c r="A146" s="81" t="s">
        <v>258</v>
      </c>
    </row>
    <row r="147" spans="1:1" x14ac:dyDescent="0.25">
      <c r="A147" s="81"/>
    </row>
    <row r="148" spans="1:1" x14ac:dyDescent="0.25">
      <c r="A148" s="81" t="s">
        <v>259</v>
      </c>
    </row>
    <row r="149" spans="1:1" x14ac:dyDescent="0.25">
      <c r="A149" s="81" t="s">
        <v>260</v>
      </c>
    </row>
    <row r="150" spans="1:1" x14ac:dyDescent="0.25">
      <c r="A150" s="81" t="s">
        <v>261</v>
      </c>
    </row>
    <row r="151" spans="1:1" x14ac:dyDescent="0.25">
      <c r="A151" s="81" t="s">
        <v>262</v>
      </c>
    </row>
    <row r="152" spans="1:1" x14ac:dyDescent="0.25">
      <c r="A152" s="81" t="s">
        <v>263</v>
      </c>
    </row>
    <row r="153" spans="1:1" x14ac:dyDescent="0.25">
      <c r="A153" s="81" t="s">
        <v>264</v>
      </c>
    </row>
    <row r="154" spans="1:1" x14ac:dyDescent="0.25">
      <c r="A154" s="81" t="s">
        <v>265</v>
      </c>
    </row>
    <row r="155" spans="1:1" x14ac:dyDescent="0.25">
      <c r="A155" s="81"/>
    </row>
    <row r="156" spans="1:1" x14ac:dyDescent="0.25">
      <c r="A156" s="81" t="s">
        <v>266</v>
      </c>
    </row>
    <row r="157" spans="1:1" x14ac:dyDescent="0.25">
      <c r="A157" s="81"/>
    </row>
    <row r="158" spans="1:1" x14ac:dyDescent="0.25">
      <c r="A158" s="81" t="s">
        <v>267</v>
      </c>
    </row>
    <row r="159" spans="1:1" x14ac:dyDescent="0.25">
      <c r="A159" s="81" t="s">
        <v>268</v>
      </c>
    </row>
    <row r="160" spans="1:1" x14ac:dyDescent="0.25">
      <c r="A160" s="81"/>
    </row>
    <row r="161" spans="1:1" x14ac:dyDescent="0.25">
      <c r="A161" s="81" t="s">
        <v>269</v>
      </c>
    </row>
    <row r="162" spans="1:1" x14ac:dyDescent="0.25">
      <c r="A162" s="81" t="s">
        <v>270</v>
      </c>
    </row>
    <row r="163" spans="1:1" x14ac:dyDescent="0.25">
      <c r="A163" s="81"/>
    </row>
    <row r="164" spans="1:1" x14ac:dyDescent="0.25">
      <c r="A164" s="81" t="s">
        <v>271</v>
      </c>
    </row>
    <row r="165" spans="1:1" x14ac:dyDescent="0.25">
      <c r="A165" s="81" t="s">
        <v>272</v>
      </c>
    </row>
    <row r="166" spans="1:1" x14ac:dyDescent="0.25">
      <c r="A166" s="81" t="s">
        <v>273</v>
      </c>
    </row>
    <row r="167" spans="1:1" x14ac:dyDescent="0.25">
      <c r="A167" s="81"/>
    </row>
    <row r="168" spans="1:1" x14ac:dyDescent="0.25">
      <c r="A168" s="81" t="s">
        <v>274</v>
      </c>
    </row>
    <row r="169" spans="1:1" x14ac:dyDescent="0.25">
      <c r="A169" s="81" t="s">
        <v>275</v>
      </c>
    </row>
    <row r="170" spans="1:1" x14ac:dyDescent="0.25">
      <c r="A170" s="81" t="s">
        <v>276</v>
      </c>
    </row>
    <row r="171" spans="1:1" x14ac:dyDescent="0.25">
      <c r="A171" s="81"/>
    </row>
    <row r="172" spans="1:1" x14ac:dyDescent="0.25">
      <c r="A172" s="81" t="s">
        <v>277</v>
      </c>
    </row>
    <row r="173" spans="1:1" x14ac:dyDescent="0.25">
      <c r="A173" s="81"/>
    </row>
    <row r="174" spans="1:1" x14ac:dyDescent="0.25">
      <c r="A174" s="81" t="s">
        <v>278</v>
      </c>
    </row>
  </sheetData>
  <hyperlinks>
    <hyperlink ref="A77" location="_ftn1" display="_ftn1"/>
    <hyperlink ref="A79" location="_ftn2" display="_ftn2"/>
    <hyperlink ref="A101" location="_ftnref1" display="_ftnref1"/>
    <hyperlink ref="A102" location="_ftnref2" display="_ftnref2"/>
  </hyperlink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Rig Analysis</vt:lpstr>
      <vt:lpstr>Loos Scale Readings in Lbs.</vt:lpstr>
      <vt:lpstr>Loos Scale Reading in Kg</vt:lpstr>
      <vt:lpstr>1x19 316 Wire</vt:lpstr>
      <vt:lpstr>Rig Element Tension Calculator</vt:lpstr>
      <vt:lpstr>Notes</vt:lpstr>
      <vt:lpstr>Notes!_ftn1</vt:lpstr>
      <vt:lpstr>Notes!_ftn2</vt:lpstr>
      <vt:lpstr>Notes!_ftnref1</vt:lpstr>
      <vt:lpstr>Notes!_ftnref2</vt:lpstr>
      <vt:lpstr>Notes!_MailOriginal</vt:lpstr>
      <vt:lpstr>Beam</vt:lpstr>
      <vt:lpstr>bs_lbs</vt:lpstr>
      <vt:lpstr>CurrentPageUnits</vt:lpstr>
      <vt:lpstr>IsMetric</vt:lpstr>
      <vt:lpstr>lbs_to_kg</vt:lpstr>
      <vt:lpstr>lookup_cols</vt:lpstr>
      <vt:lpstr>material</vt:lpstr>
      <vt:lpstr>mm</vt:lpstr>
      <vt:lpstr>RightingMoment30</vt:lpstr>
      <vt:lpstr>SafetyFactor</vt:lpstr>
      <vt:lpstr>scale_lbs</vt:lpstr>
      <vt:lpstr>scale_metric</vt:lpstr>
      <vt:lpstr>ShroudLoad</vt:lpstr>
      <vt:lpstr>size_units</vt:lpstr>
      <vt:lpstr>Strength_Factor</vt:lpstr>
      <vt:lpstr>unit_conversion</vt:lpstr>
      <vt:lpstr>wire_bs</vt:lpstr>
      <vt:lpstr>wire_bs_metric</vt:lpstr>
      <vt:lpstr>wire_rope_specs_imperial</vt:lpstr>
      <vt:lpstr>wire_rope_specs_metric</vt:lpstr>
      <vt:lpstr>Wire_Threshold</vt:lpstr>
      <vt:lpstr>WireD1</vt:lpstr>
      <vt:lpstr>WireD2</vt:lpstr>
      <vt:lpstr>WireD3</vt:lpstr>
      <vt:lpstr>WireV2</vt:lpstr>
      <vt:lpstr>WorkBookUnits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Stander</dc:creator>
  <cp:lastModifiedBy>Jeff</cp:lastModifiedBy>
  <cp:lastPrinted>2018-11-16T02:36:02Z</cp:lastPrinted>
  <dcterms:created xsi:type="dcterms:W3CDTF">2012-10-08T02:12:57Z</dcterms:created>
  <dcterms:modified xsi:type="dcterms:W3CDTF">2018-11-16T05:25:02Z</dcterms:modified>
</cp:coreProperties>
</file>